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19" documentId="13_ncr:1_{355C91DE-0FE8-4B13-A0BA-CA06EE3B5DAF}" xr6:coauthVersionLast="47" xr6:coauthVersionMax="47" xr10:uidLastSave="{EBE86DFD-435B-424E-A510-F759B876A0F1}"/>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4858" r:id="rId8"/>
    <pivotCache cacheId="4871" r:id="rId9"/>
    <pivotCache cacheId="4880" r:id="rId10"/>
    <pivotCache cacheId="488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6"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U76" i="1"/>
  <c r="V76" i="1"/>
  <c r="AX76" i="1" s="1"/>
  <c r="U77" i="1"/>
  <c r="V77" i="1"/>
  <c r="U78" i="1"/>
  <c r="V78" i="1"/>
  <c r="AX78" i="1" s="1"/>
  <c r="U79" i="1"/>
  <c r="V79" i="1"/>
  <c r="U80" i="1"/>
  <c r="V80" i="1"/>
  <c r="AX80" i="1" s="1"/>
  <c r="U81" i="1"/>
  <c r="V81" i="1"/>
  <c r="AZ81" i="1" s="1"/>
  <c r="U82" i="1"/>
  <c r="V82" i="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5" i="1"/>
  <c r="AZ79" i="1"/>
  <c r="AX82"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25" i="1" l="1"/>
  <c r="BI27" i="1"/>
  <c r="BI28" i="1"/>
  <c r="BI29" i="1"/>
  <c r="BI19" i="1"/>
  <c r="BI20" i="1"/>
  <c r="BI21" i="1"/>
  <c r="BI22" i="1"/>
  <c r="BI23" i="1"/>
  <c r="BI24" i="1"/>
  <c r="AZ4" i="1"/>
  <c r="BI4" i="1"/>
  <c r="BI11" i="1"/>
  <c r="BI18" i="1"/>
  <c r="BI10" i="1"/>
  <c r="BI17" i="1"/>
  <c r="BI9" i="1"/>
  <c r="BI16" i="1"/>
  <c r="BI8" i="1"/>
  <c r="BI15" i="1"/>
  <c r="BI7" i="1"/>
  <c r="BI14" i="1"/>
  <c r="BI6" i="1"/>
  <c r="BI13" i="1"/>
  <c r="BI5" i="1"/>
  <c r="BI12"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G10" i="9" l="1"/>
  <c r="O21" i="9"/>
  <c r="G21" i="9"/>
  <c r="N21" i="9"/>
  <c r="F21" i="9"/>
  <c r="Q21" i="9"/>
  <c r="I21" i="9"/>
  <c r="P21" i="9"/>
  <c r="H21" i="9"/>
  <c r="M21" i="9"/>
  <c r="L21" i="9"/>
  <c r="K21" i="9"/>
  <c r="J21" i="9"/>
  <c r="F27" i="9"/>
  <c r="M27" i="9"/>
  <c r="L27" i="9"/>
  <c r="Q26" i="9"/>
  <c r="P27" i="9"/>
  <c r="O27" i="9"/>
  <c r="G27" i="9"/>
  <c r="N27" i="9"/>
  <c r="P26" i="9"/>
  <c r="O26" i="9"/>
  <c r="J27" i="9"/>
  <c r="Q27" i="9"/>
  <c r="I27" i="9"/>
  <c r="K26" i="9"/>
  <c r="H27" i="9"/>
  <c r="I26" i="9"/>
  <c r="G26" i="9"/>
  <c r="F26" i="9"/>
  <c r="M26" i="9"/>
  <c r="K27" i="9"/>
  <c r="Q25" i="9"/>
  <c r="L26" i="9"/>
  <c r="J26" i="9"/>
  <c r="H26" i="9"/>
  <c r="L23" i="9"/>
  <c r="K25" i="9"/>
  <c r="J25" i="9"/>
  <c r="N26" i="9"/>
  <c r="J10" i="9"/>
  <c r="P25" i="9"/>
  <c r="F25" i="9"/>
  <c r="O25" i="9"/>
  <c r="N25" i="9"/>
  <c r="N10" i="9"/>
  <c r="Q10" i="9"/>
  <c r="F10" i="9"/>
  <c r="H10" i="9"/>
  <c r="K10" i="9"/>
  <c r="L25" i="9"/>
  <c r="I25" i="9"/>
  <c r="H25" i="9"/>
  <c r="G25" i="9"/>
  <c r="L10" i="9"/>
  <c r="P10" i="9"/>
  <c r="M10" i="9"/>
  <c r="I10" i="9"/>
  <c r="O10" i="9"/>
  <c r="O23" i="9"/>
  <c r="F23" i="9"/>
  <c r="M25" i="9"/>
  <c r="K23" i="9"/>
  <c r="J23" i="9"/>
  <c r="I23" i="9"/>
  <c r="Q23" i="9"/>
  <c r="H23" i="9"/>
  <c r="M23" i="9"/>
  <c r="G23" i="9"/>
  <c r="P23" i="9"/>
  <c r="N23" i="9"/>
  <c r="P22" i="9"/>
  <c r="N22" i="9"/>
  <c r="L22" i="9"/>
  <c r="J22" i="9"/>
  <c r="I22" i="9"/>
  <c r="H22" i="9"/>
  <c r="G22" i="9"/>
  <c r="Q7" i="9"/>
  <c r="P7" i="9"/>
  <c r="O7" i="9"/>
  <c r="N7" i="9"/>
  <c r="M7" i="9"/>
  <c r="L7" i="9"/>
  <c r="K7" i="9"/>
  <c r="J7" i="9"/>
  <c r="I7" i="9"/>
  <c r="H7" i="9"/>
  <c r="G7" i="9"/>
  <c r="Q22" i="9"/>
  <c r="K22" i="9"/>
  <c r="O22" i="9"/>
  <c r="M22" i="9"/>
  <c r="Q8" i="9"/>
  <c r="O8" i="9"/>
  <c r="K8" i="9"/>
  <c r="P8" i="9"/>
  <c r="F8" i="9"/>
  <c r="D26" i="9"/>
  <c r="M8" i="9"/>
  <c r="G8" i="9"/>
  <c r="J8" i="9"/>
  <c r="K24" i="9"/>
  <c r="J24" i="9"/>
  <c r="Q24" i="9"/>
  <c r="I24" i="9"/>
  <c r="P24" i="9"/>
  <c r="H24" i="9"/>
  <c r="O24" i="9"/>
  <c r="G24" i="9"/>
  <c r="N24" i="9"/>
  <c r="F24" i="9"/>
  <c r="M24" i="9"/>
  <c r="L24" i="9"/>
  <c r="D16" i="9"/>
  <c r="C16" i="9"/>
  <c r="D27" i="9"/>
  <c r="D17" i="9"/>
  <c r="C17" i="9"/>
  <c r="N8" i="9"/>
  <c r="C21" i="9"/>
  <c r="F7" i="9"/>
  <c r="F22" i="9"/>
  <c r="H8" i="9"/>
  <c r="L8" i="9"/>
  <c r="J20" i="9"/>
  <c r="Q20" i="9"/>
  <c r="I20" i="9"/>
  <c r="P20" i="9"/>
  <c r="H20" i="9"/>
  <c r="O20" i="9"/>
  <c r="G20" i="9"/>
  <c r="N20" i="9"/>
  <c r="F20" i="9"/>
  <c r="M20" i="9"/>
  <c r="L20" i="9"/>
  <c r="K20" i="9"/>
  <c r="I8" i="9"/>
  <c r="C26" i="9" l="1"/>
  <c r="C27" i="9"/>
  <c r="D21" i="9"/>
  <c r="D25" i="9"/>
  <c r="D23" i="9"/>
  <c r="C23" i="9"/>
  <c r="C25" i="9"/>
  <c r="F14" i="9"/>
  <c r="F15" i="9"/>
  <c r="F12" i="9"/>
  <c r="G5" i="9" s="1"/>
  <c r="D10" i="9"/>
  <c r="C10" i="9"/>
  <c r="D8" i="9"/>
  <c r="D20" i="9"/>
  <c r="C20" i="9"/>
  <c r="C8" i="9"/>
  <c r="D22" i="9"/>
  <c r="C22" i="9"/>
  <c r="D24" i="9"/>
  <c r="C24" i="9"/>
  <c r="D7" i="9"/>
  <c r="C7" i="9"/>
  <c r="G15" i="9" l="1"/>
  <c r="G12" i="9"/>
  <c r="H5" i="9" s="1"/>
  <c r="G14" i="9"/>
  <c r="C12" i="9"/>
  <c r="C14" i="9"/>
  <c r="C15" i="9"/>
  <c r="D12" i="9"/>
  <c r="D14" i="9"/>
  <c r="D15" i="9"/>
  <c r="H12" i="9" l="1"/>
  <c r="I5" i="9" s="1"/>
  <c r="H14" i="9"/>
  <c r="H15" i="9"/>
  <c r="I12" i="9" l="1"/>
  <c r="J5" i="9" s="1"/>
  <c r="I14" i="9"/>
  <c r="I15" i="9"/>
  <c r="J14" i="9" l="1"/>
  <c r="J15" i="9"/>
  <c r="J12" i="9"/>
  <c r="K5" i="9" s="1"/>
  <c r="K12" i="9" l="1"/>
  <c r="L5" i="9" s="1"/>
  <c r="K14" i="9"/>
  <c r="K15" i="9"/>
  <c r="L12" i="9" l="1"/>
  <c r="M5" i="9" s="1"/>
  <c r="L14" i="9"/>
  <c r="L15" i="9"/>
  <c r="M12" i="9" l="1"/>
  <c r="N5" i="9" s="1"/>
  <c r="M14" i="9"/>
  <c r="M15" i="9"/>
  <c r="N12" i="9" l="1"/>
  <c r="O5" i="9" s="1"/>
  <c r="N15" i="9"/>
  <c r="N14" i="9"/>
  <c r="O12" i="9" l="1"/>
  <c r="P5" i="9" s="1"/>
  <c r="O14" i="9"/>
  <c r="O15" i="9"/>
  <c r="P12" i="9" l="1"/>
  <c r="Q5" i="9" s="1"/>
  <c r="P15" i="9"/>
  <c r="P14" i="9"/>
  <c r="Q15" i="9" l="1"/>
  <c r="Q14" i="9"/>
  <c r="Q1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<sst xmlns="http://schemas.openxmlformats.org/spreadsheetml/2006/main" count="1307" uniqueCount="492">
  <si>
    <t>Filial:</t>
  </si>
  <si>
    <t>Huancayo - El Tambo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</si>
  <si>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</si>
  <si>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</si>
  <si>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</si>
  <si>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</si>
  <si>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</si>
  <si>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</si>
  <si>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</si>
  <si>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</si>
  <si>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</si>
  <si>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</si>
  <si>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</si>
  <si>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</si>
  <si>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</si>
  <si>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</si>
  <si>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</si>
  <si>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</si>
  <si>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</si>
  <si>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</si>
  <si>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</si>
  <si>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</si>
  <si>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</si>
  <si>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</si>
  <si>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</si>
  <si>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</si>
  <si>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</si>
  <si>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</si>
  <si>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</si>
  <si>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</si>
  <si>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</si>
  <si>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</si>
  <si>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</si>
  <si>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</si>
  <si>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</si>
  <si>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</si>
  <si>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</si>
  <si>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</si>
  <si>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</si>
  <si>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</si>
  <si>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</si>
  <si>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</si>
  <si>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</si>
  <si>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</si>
  <si>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</si>
  <si>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</si>
  <si>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</si>
  <si>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</si>
  <si>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</si>
  <si>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</si>
  <si>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</si>
  <si>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</si>
  <si>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</si>
  <si>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</si>
  <si>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</si>
  <si>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</si>
  <si>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</si>
  <si>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</si>
  <si>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</si>
  <si>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</si>
  <si>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</si>
  <si>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</si>
  <si>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</si>
  <si>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</si>
  <si>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</si>
  <si>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</si>
  <si>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</si>
  <si>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</si>
  <si>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</si>
  <si>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</si>
  <si>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</si>
  <si>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</si>
  <si>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Oratoria y Filosofía</t>
  </si>
  <si>
    <t>Enero</t>
  </si>
  <si>
    <t>Lunes</t>
  </si>
  <si>
    <t>5:00 - 7:00 p. m.</t>
  </si>
  <si>
    <t>60002684</t>
  </si>
  <si>
    <t>Avigail Yunmi</t>
  </si>
  <si>
    <t>Valer Valladares</t>
  </si>
  <si>
    <t>avigailyum@gmail.com</t>
  </si>
  <si>
    <t>Amon I</t>
  </si>
  <si>
    <t>Inscrito Nuevo</t>
  </si>
  <si>
    <t>Angie Lopez</t>
  </si>
  <si>
    <t>P</t>
  </si>
  <si>
    <t>F</t>
  </si>
  <si>
    <t>Contacto Personal</t>
  </si>
  <si>
    <t>60891378</t>
  </si>
  <si>
    <t>Claudia Estefany</t>
  </si>
  <si>
    <t>Quispe Chirinos</t>
  </si>
  <si>
    <t>moonc0256@gmail.com</t>
  </si>
  <si>
    <t>60750889</t>
  </si>
  <si>
    <t>Gerardo Kristian</t>
  </si>
  <si>
    <t>Guerra Obispo</t>
  </si>
  <si>
    <t>gerard12222@gmail.com</t>
  </si>
  <si>
    <t>75564433</t>
  </si>
  <si>
    <t>Anahi Scarlet</t>
  </si>
  <si>
    <t>Martinez Hayqui</t>
  </si>
  <si>
    <t>anahimartinezhayqui64@gmail.com</t>
  </si>
  <si>
    <t>Redes sociales</t>
  </si>
  <si>
    <t>60891342</t>
  </si>
  <si>
    <t>Andrea Angely</t>
  </si>
  <si>
    <t>Quijada Torres</t>
  </si>
  <si>
    <t>andreapuerta404@gmail.com</t>
  </si>
  <si>
    <t>Web</t>
  </si>
  <si>
    <t>70343194</t>
  </si>
  <si>
    <t>Lizeth Angela</t>
  </si>
  <si>
    <t>Nuñez Macha</t>
  </si>
  <si>
    <t>lizeth.numa27@gmail.com</t>
  </si>
  <si>
    <t>61203586</t>
  </si>
  <si>
    <t>Michael Leonardo</t>
  </si>
  <si>
    <t>Monroy Espíritu</t>
  </si>
  <si>
    <t>leomonroyespiritu30@gmail.com</t>
  </si>
  <si>
    <t>73198434</t>
  </si>
  <si>
    <t>Fabiola</t>
  </si>
  <si>
    <t>Soriano Gamonal</t>
  </si>
  <si>
    <t>fasoriano23@gmail.com</t>
  </si>
  <si>
    <t>71449227</t>
  </si>
  <si>
    <t>Luiggi</t>
  </si>
  <si>
    <t>Baldeón Morales</t>
  </si>
  <si>
    <t>luiggiklk123@gmail.com</t>
  </si>
  <si>
    <t>N</t>
  </si>
  <si>
    <t>Propag.Impresa</t>
  </si>
  <si>
    <t>60418860</t>
  </si>
  <si>
    <t>Mireya Lizeth</t>
  </si>
  <si>
    <t>Barrientos de la Cruz</t>
  </si>
  <si>
    <t>mireyadelacruz53@gmail.com</t>
  </si>
  <si>
    <t>71231659</t>
  </si>
  <si>
    <t xml:space="preserve">Marianella </t>
  </si>
  <si>
    <t>Gutierrez Pillpe</t>
  </si>
  <si>
    <t>marianella.gp11@gmail.com</t>
  </si>
  <si>
    <t>7:00 - 9:00 p. m.</t>
  </si>
  <si>
    <t>72254948</t>
  </si>
  <si>
    <t>Rocio Milagros</t>
  </si>
  <si>
    <t>Pomahuali Gilvonio</t>
  </si>
  <si>
    <t>rociomilagrospomahualigilvonio@gmail.com</t>
  </si>
  <si>
    <t>Recuperado otro año</t>
  </si>
  <si>
    <t>Mayo 2024, Sede San Carlos</t>
  </si>
  <si>
    <t>Sábados</t>
  </si>
  <si>
    <t>3:30 - 5:30pm</t>
  </si>
  <si>
    <t>Marta Meza</t>
  </si>
  <si>
    <t>CH</t>
  </si>
  <si>
    <t>61713017</t>
  </si>
  <si>
    <t>Matheo Alessandro</t>
  </si>
  <si>
    <t>Galindo Bravo</t>
  </si>
  <si>
    <t>mathegalindo@gmail.com</t>
  </si>
  <si>
    <t>77920478</t>
  </si>
  <si>
    <t>Valeria Silvana</t>
  </si>
  <si>
    <t>Ozco Ortiz</t>
  </si>
  <si>
    <t>44017124</t>
  </si>
  <si>
    <t>Elizabeth Susana</t>
  </si>
  <si>
    <t>Yance Sedano</t>
  </si>
  <si>
    <t>yancesedanoelizabeth@gmail.com</t>
  </si>
  <si>
    <t>Julio 2024</t>
  </si>
  <si>
    <t>7:00 - 9:00pm</t>
  </si>
  <si>
    <t>Febrero</t>
  </si>
  <si>
    <t>Miércoles</t>
  </si>
  <si>
    <t>74687428</t>
  </si>
  <si>
    <t>Katherine Georgina</t>
  </si>
  <si>
    <t>Quillatupa Alanya</t>
  </si>
  <si>
    <t>georgi.alanya1406@gmail.com</t>
  </si>
  <si>
    <t>48329923</t>
  </si>
  <si>
    <t>Alexanther Jhoel</t>
  </si>
  <si>
    <t>Marchinares Berrocal</t>
  </si>
  <si>
    <t>alex.acuario12@hotmail.com</t>
  </si>
  <si>
    <t>73060876</t>
  </si>
  <si>
    <t>Cristian Rafael</t>
  </si>
  <si>
    <t>Lopez Gomez</t>
  </si>
  <si>
    <t>lpvcrlistians@gmail.com</t>
  </si>
  <si>
    <t>Cursos</t>
  </si>
  <si>
    <t>70236456</t>
  </si>
  <si>
    <t>Miriam Paola</t>
  </si>
  <si>
    <t>Jesus Serpa</t>
  </si>
  <si>
    <t>mjesuss.ing25@gmail.com</t>
  </si>
  <si>
    <t>72749766</t>
  </si>
  <si>
    <t>Claudia Giomara</t>
  </si>
  <si>
    <t>Castro Artica</t>
  </si>
  <si>
    <t>giomi_2002@outlook.com</t>
  </si>
  <si>
    <t>72519662</t>
  </si>
  <si>
    <t>Marycielo</t>
  </si>
  <si>
    <t>Espinoza Villagaray</t>
  </si>
  <si>
    <t>e07.mary11@gmail.com</t>
  </si>
  <si>
    <t>Cambio de horario</t>
  </si>
  <si>
    <t>Marzo</t>
  </si>
  <si>
    <t>76040728</t>
  </si>
  <si>
    <t>Yerson Danny</t>
  </si>
  <si>
    <t>Monago Colqui</t>
  </si>
  <si>
    <t>colquidanny425@gmail.com</t>
  </si>
  <si>
    <t>61444774</t>
  </si>
  <si>
    <t>Allison Gisel</t>
  </si>
  <si>
    <t>Nuñez Martinez</t>
  </si>
  <si>
    <t>allisongiselxd@gmail.com</t>
  </si>
  <si>
    <t>61131451</t>
  </si>
  <si>
    <t>Keila Anny</t>
  </si>
  <si>
    <t>De la Cruz Gonzales</t>
  </si>
  <si>
    <t>annykeiladg@gmail.com</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</si>
  <si>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</si>
  <si>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</si>
  <si>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</si>
  <si>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</si>
  <si>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</si>
  <si>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</si>
  <si>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</si>
  <si>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</si>
  <si>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</si>
  <si>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</si>
  <si>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</si>
  <si>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</si>
  <si>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</si>
  <si>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</si>
  <si>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</si>
  <si>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</si>
  <si>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</si>
  <si>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</si>
  <si>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</si>
  <si>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</si>
  <si>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</si>
  <si>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</si>
  <si>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</si>
  <si>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</si>
  <si>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</si>
  <si>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</si>
  <si>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</si>
  <si>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</si>
  <si>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</si>
  <si>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</si>
  <si>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</si>
  <si>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</si>
  <si>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</si>
  <si>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</si>
  <si>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</si>
  <si>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</si>
  <si>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</si>
  <si>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</si>
  <si>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</si>
  <si>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</si>
  <si>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</si>
  <si>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</si>
  <si>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</si>
  <si>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</si>
  <si>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</si>
  <si>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</si>
  <si>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</si>
  <si>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</si>
  <si>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</si>
  <si>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</si>
  <si>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</si>
  <si>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</si>
  <si>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</si>
  <si>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Conócete a ti mismo</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</si>
  <si>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</si>
  <si>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</si>
  <si>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</si>
  <si>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</si>
  <si>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</si>
  <si>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</si>
  <si>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</si>
  <si>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</si>
  <si>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</si>
  <si>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7:15 - 9:10</t>
  </si>
  <si>
    <t>9:30 a.m.- 12:30 p.m.</t>
  </si>
  <si>
    <t>Ene_2025</t>
  </si>
  <si>
    <t>Nuth I</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</si>
  <si>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</si>
  <si>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</si>
  <si>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</si>
  <si>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</si>
  <si>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</si>
  <si>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</si>
  <si>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</si>
  <si>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</si>
  <si>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</si>
  <si>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</si>
  <si>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</si>
  <si>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Anubis I</t>
  </si>
  <si>
    <t>Falta</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</si>
  <si>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</si>
  <si>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</si>
  <si>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</si>
  <si>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</si>
  <si>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</si>
  <si>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</si>
  <si>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</si>
  <si>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</si>
  <si>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</si>
  <si>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</si>
  <si>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</si>
  <si>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</si>
  <si>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</si>
  <si>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</si>
  <si>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</si>
  <si>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</si>
  <si>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</si>
  <si>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</si>
  <si>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</si>
  <si>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</si>
  <si>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</si>
  <si>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</si>
  <si>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</si>
  <si>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</si>
  <si>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</si>
  <si>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</si>
  <si>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</si>
  <si>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</si>
  <si>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</si>
  <si>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</si>
  <si>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</si>
  <si>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</si>
  <si>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</si>
  <si>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</si>
  <si>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</si>
  <si>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</si>
  <si>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</si>
  <si>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</si>
  <si>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</si>
  <si>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</si>
  <si>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</si>
  <si>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</si>
  <si>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</si>
  <si>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</si>
  <si>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</si>
  <si>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</si>
  <si>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</si>
  <si>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</si>
  <si>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</si>
  <si>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</si>
  <si>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</si>
  <si>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</si>
  <si>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</si>
  <si>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</si>
  <si>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</si>
  <si>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</si>
  <si>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</si>
  <si>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</si>
  <si>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</si>
  <si>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</si>
  <si>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</si>
  <si>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</si>
  <si>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</si>
  <si>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</si>
  <si>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</si>
  <si>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</si>
  <si>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</si>
  <si>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</si>
  <si>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</si>
  <si>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</si>
  <si>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</si>
  <si>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</si>
  <si>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</si>
  <si>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</si>
  <si>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</si>
  <si>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</si>
  <si>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</si>
  <si>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</si>
  <si>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</si>
  <si>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</si>
  <si>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</si>
  <si>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</si>
  <si>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</si>
  <si>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</si>
  <si>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</si>
  <si>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</si>
  <si>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</si>
  <si>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</si>
  <si>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</si>
  <si>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</si>
  <si>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</si>
  <si>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</si>
  <si>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</si>
  <si>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</si>
  <si>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</si>
  <si>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</si>
  <si>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</si>
  <si>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</si>
  <si>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</si>
  <si>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</si>
  <si>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</si>
  <si>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</si>
  <si>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</si>
  <si>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</si>
  <si>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</si>
  <si>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</si>
  <si>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</si>
  <si>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</si>
  <si>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</si>
  <si>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</si>
  <si>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</si>
  <si>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</si>
  <si>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</si>
  <si>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</si>
  <si>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</si>
  <si>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</si>
  <si>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</si>
  <si>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</si>
  <si>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</si>
  <si>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</si>
  <si>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</si>
  <si>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</si>
  <si>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</si>
  <si>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</si>
  <si>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</si>
  <si>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</si>
  <si>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</si>
  <si>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</si>
  <si>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</si>
  <si>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(en blanco)</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</si>
  <si>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</si>
  <si>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</si>
  <si>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</si>
  <si>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</si>
  <si>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</si>
  <si>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</si>
  <si>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</si>
  <si>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</si>
  <si>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</si>
  <si>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</si>
  <si>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</si>
  <si>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</si>
  <si>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</si>
  <si>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</si>
  <si>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</si>
  <si>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</si>
  <si>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</si>
  <si>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</si>
  <si>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</si>
  <si>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</si>
  <si>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</si>
  <si>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</si>
  <si>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</si>
  <si>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</si>
  <si>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</si>
  <si>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</si>
  <si>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</si>
  <si>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</si>
  <si>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</si>
  <si>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</si>
  <si>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</si>
  <si>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</si>
  <si>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</si>
  <si>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</si>
  <si>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</si>
  <si>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Huancayo - El Tambo-Enero-Lunes-5:00 - 7:00 p. m.-45670-Inscrito Nuevo</t>
  </si>
  <si>
    <t>Huancayo - El Tambo-Enero-Lunes-7:00 - 9:00 p. m.-45670-Recuperado otro año</t>
  </si>
  <si>
    <t>Huancayo - El Tambo-Enero-Lunes-7:00 - 9:00 p. m.-45670-Inscrito Nuevo</t>
  </si>
  <si>
    <t>Huancayo - El Tambo-Febrero-Miércoles-7:00 - 9:00 p. m.-45693-Inscrito Nuevo</t>
  </si>
  <si>
    <t>Huancayo - El Tambo-Febrero-Miércoles-7:00 - 9:00 p. m.-45693-Cambio de horario</t>
  </si>
  <si>
    <t>Huancayo - El Tambo-Marzo-Miércoles-7:00 - 9:00 p. m.-45721-Inscrito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</si>
  <si>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</si>
  <si>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</si>
  <si>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</si>
  <si>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</si>
  <si>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</si>
  <si>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</si>
  <si>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</si>
  <si>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</si>
  <si>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</si>
  <si>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</si>
  <si>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</si>
  <si>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</si>
  <si>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</si>
  <si>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</si>
  <si>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</si>
  <si>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</si>
  <si>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</si>
  <si>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</si>
  <si>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</si>
  <si>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</si>
  <si>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March</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</si>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</sst>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6" fontId="14" fillId="11" borderId="0" xfId="0" applyNumberFormat="1" applyFont="1" applyFill="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D576F1E6-1BB0-406E-A6C9-3CC1FA29A265}"/>
    <cellStyle name="Porcentaje" xfId="2" builtinId="5"/>
  </cellStyles>
  <dxfs count="104">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El Tambo.xlsx]Gráficos_!TablaDinámica3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Gráficos_!$BP$104:$BP$111</c:f>
              <c:numCache>
                <c:formatCode>General</c:formatCode>
                <c:ptCount val="7"/>
                <c:pt idx="0">
                  <c:v>0</c:v>
                </c:pt>
                <c:pt idx="1">
                  <c:v>8</c:v>
                </c:pt>
                <c:pt idx="2">
                  <c:v>2</c:v>
                </c:pt>
                <c:pt idx="3">
                  <c:v>1</c:v>
                </c:pt>
                <c:pt idx="4">
                  <c:v>3</c:v>
                </c:pt>
                <c:pt idx="5">
                  <c:v>0</c:v>
                </c:pt>
                <c:pt idx="6">
                  <c:v>3</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Gráficos_!$BQ$104:$BQ$111</c:f>
              <c:numCache>
                <c:formatCode>General</c:formatCode>
                <c:ptCount val="7"/>
                <c:pt idx="0">
                  <c:v>0</c:v>
                </c:pt>
                <c:pt idx="1">
                  <c:v>9</c:v>
                </c:pt>
                <c:pt idx="2">
                  <c:v>2</c:v>
                </c:pt>
                <c:pt idx="3">
                  <c:v>1</c:v>
                </c:pt>
                <c:pt idx="4">
                  <c:v>5</c:v>
                </c:pt>
                <c:pt idx="5">
                  <c:v>0</c:v>
                </c:pt>
                <c:pt idx="6">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Gráficos_!$BR$104:$BR$111</c:f>
              <c:numCache>
                <c:formatCode>General</c:formatCode>
                <c:ptCount val="7"/>
                <c:pt idx="0">
                  <c:v>0</c:v>
                </c:pt>
                <c:pt idx="1">
                  <c:v>10</c:v>
                </c:pt>
                <c:pt idx="2">
                  <c:v>2</c:v>
                </c:pt>
                <c:pt idx="3">
                  <c:v>2</c:v>
                </c:pt>
                <c:pt idx="4">
                  <c:v>4</c:v>
                </c:pt>
                <c:pt idx="5">
                  <c:v>0</c:v>
                </c:pt>
                <c:pt idx="6">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Gráficos_!$BS$104:$BS$111</c:f>
              <c:numCache>
                <c:formatCode>General</c:formatCode>
                <c:ptCount val="7"/>
                <c:pt idx="0">
                  <c:v>0</c:v>
                </c:pt>
                <c:pt idx="1">
                  <c:v>8</c:v>
                </c:pt>
                <c:pt idx="2">
                  <c:v>2</c:v>
                </c:pt>
                <c:pt idx="3">
                  <c:v>2</c:v>
                </c:pt>
                <c:pt idx="4">
                  <c:v>3</c:v>
                </c:pt>
                <c:pt idx="5">
                  <c:v>1</c:v>
                </c:pt>
                <c:pt idx="6">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Gráficos_!$BT$104:$BT$111</c:f>
              <c:numCache>
                <c:formatCode>General</c:formatCode>
                <c:ptCount val="7"/>
                <c:pt idx="0">
                  <c:v>0</c:v>
                </c:pt>
                <c:pt idx="1">
                  <c:v>5</c:v>
                </c:pt>
                <c:pt idx="2">
                  <c:v>0</c:v>
                </c:pt>
                <c:pt idx="3">
                  <c:v>1</c:v>
                </c:pt>
                <c:pt idx="4">
                  <c:v>0</c:v>
                </c:pt>
                <c:pt idx="5">
                  <c:v>1</c:v>
                </c:pt>
                <c:pt idx="6">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Gráficos_!$BU$104:$BU$111</c:f>
              <c:numCache>
                <c:formatCode>General</c:formatCode>
                <c:ptCount val="7"/>
                <c:pt idx="0">
                  <c:v>0</c:v>
                </c:pt>
                <c:pt idx="1">
                  <c:v>8</c:v>
                </c:pt>
                <c:pt idx="2">
                  <c:v>1</c:v>
                </c:pt>
                <c:pt idx="3">
                  <c:v>1</c:v>
                </c:pt>
                <c:pt idx="4">
                  <c:v>0</c:v>
                </c:pt>
                <c:pt idx="5">
                  <c:v>0</c:v>
                </c:pt>
                <c:pt idx="6">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Gráficos_!$BV$104:$BV$111</c:f>
              <c:numCache>
                <c:formatCode>General</c:formatCode>
                <c:ptCount val="7"/>
                <c:pt idx="0">
                  <c:v>0</c:v>
                </c:pt>
                <c:pt idx="1">
                  <c:v>6</c:v>
                </c:pt>
                <c:pt idx="2">
                  <c:v>1</c:v>
                </c:pt>
                <c:pt idx="3">
                  <c:v>1</c:v>
                </c:pt>
                <c:pt idx="4">
                  <c:v>0</c:v>
                </c:pt>
                <c:pt idx="5">
                  <c:v>0</c:v>
                </c:pt>
                <c:pt idx="6">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Gráficos_!$BW$104:$BW$111</c:f>
              <c:numCache>
                <c:formatCode>General</c:formatCode>
                <c:ptCount val="7"/>
                <c:pt idx="0">
                  <c:v>0</c:v>
                </c:pt>
                <c:pt idx="1">
                  <c:v>8</c:v>
                </c:pt>
                <c:pt idx="2">
                  <c:v>0</c:v>
                </c:pt>
                <c:pt idx="3">
                  <c:v>1</c:v>
                </c:pt>
                <c:pt idx="4">
                  <c:v>0</c:v>
                </c:pt>
                <c:pt idx="5">
                  <c:v>0</c:v>
                </c:pt>
                <c:pt idx="6">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Gráficos_!$BX$104:$BX$111</c:f>
              <c:numCache>
                <c:formatCode>General</c:formatCode>
                <c:ptCount val="7"/>
                <c:pt idx="0">
                  <c:v>0</c:v>
                </c:pt>
                <c:pt idx="1">
                  <c:v>6</c:v>
                </c:pt>
                <c:pt idx="2">
                  <c:v>0</c:v>
                </c:pt>
                <c:pt idx="3">
                  <c:v>0</c:v>
                </c:pt>
                <c:pt idx="4">
                  <c:v>0</c:v>
                </c:pt>
                <c:pt idx="5">
                  <c:v>0</c:v>
                </c:pt>
                <c:pt idx="6">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Gráficos_!$BY$104:$BY$111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Gráficos_!$BZ$104:$BZ$111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Angie Lopez</c:v>
                  </c:pt>
                  <c:pt idx="2">
                    <c:v>Marta Meza</c:v>
                  </c:pt>
                  <c:pt idx="3">
                    <c:v>Marta Meza</c:v>
                  </c:pt>
                  <c:pt idx="4">
                    <c:v>Marta Meza</c:v>
                  </c:pt>
                  <c:pt idx="5">
                    <c:v>Marta Meza</c:v>
                  </c:pt>
                  <c:pt idx="6">
                    <c:v>Angie Lopez</c:v>
                  </c:pt>
                </c:lvl>
                <c:lvl>
                  <c:pt idx="1">
                    <c:v>Angie Lopez</c:v>
                  </c:pt>
                  <c:pt idx="2">
                    <c:v>Marta Meza</c:v>
                  </c:pt>
                  <c:pt idx="3">
                    <c:v>Marta Meza</c:v>
                  </c:pt>
                  <c:pt idx="4">
                    <c:v>Marta Meza</c:v>
                  </c:pt>
                  <c:pt idx="5">
                    <c:v>Marta Meza</c:v>
                  </c:pt>
                  <c:pt idx="6">
                    <c:v>Angie Lopez</c:v>
                  </c:pt>
                </c:lvl>
                <c:lvl>
                  <c:pt idx="1">
                    <c:v>Inscrito Nuevo</c:v>
                  </c:pt>
                  <c:pt idx="3">
                    <c:v>Recuperado otro año</c:v>
                  </c:pt>
                  <c:pt idx="4">
                    <c:v>Inscrito Nuevo</c:v>
                  </c:pt>
                  <c:pt idx="5">
                    <c:v>Cambio de horario</c:v>
                  </c:pt>
                  <c:pt idx="6">
                    <c:v>Inscrito Nuevo</c:v>
                  </c:pt>
                </c:lvl>
                <c:lvl>
                  <c:pt idx="1">
                    <c:v>January</c:v>
                  </c:pt>
                  <c:pt idx="4">
                    <c:v>February</c:v>
                  </c:pt>
                  <c:pt idx="6">
                    <c:v>March</c:v>
                  </c:pt>
                </c:lvl>
                <c:lvl>
                  <c:pt idx="1">
                    <c:v>13/01/2025</c:v>
                  </c:pt>
                  <c:pt idx="4">
                    <c:v>5/02/2025</c:v>
                  </c:pt>
                  <c:pt idx="6">
                    <c:v>5/03/2025</c:v>
                  </c:pt>
                </c:lvl>
              </c:multiLvlStrCache>
            </c:multiLvlStrRef>
          </c:cat>
          <c:val>
            <c:numRef>
              <c:f>Gráficos_!$CA$104:$CA$111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El Tambo.xlsx]Gráficos_!TablaDinámica4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Marta Meza</c:v>
                  </c:pt>
                  <c:pt idx="1">
                    <c:v>Marta Meza</c:v>
                  </c:pt>
                </c:lvl>
                <c:lvl>
                  <c:pt idx="0">
                    <c:v>Marta Meza</c:v>
                  </c:pt>
                  <c:pt idx="1">
                    <c:v>Marta Meza</c:v>
                  </c:pt>
                </c:lvl>
                <c:lvl>
                  <c:pt idx="0">
                    <c:v>Inscrito Nuevo</c:v>
                  </c:pt>
                  <c:pt idx="1">
                    <c:v>Cambio de horario</c:v>
                  </c:pt>
                </c:lvl>
                <c:lvl>
                  <c:pt idx="0">
                    <c:v>Oratoria y Filosofía</c:v>
                  </c:pt>
                </c:lvl>
                <c:lvl>
                  <c:pt idx="0">
                    <c:v>5/02/2025</c:v>
                  </c:pt>
                </c:lvl>
              </c:multiLvlStrCache>
            </c:multiLvlStrRef>
          </c:cat>
          <c:val>
            <c:numRef>
              <c:f>Gráficos_!$BG$8:$BG$9</c:f>
              <c:numCache>
                <c:formatCode>General</c:formatCode>
                <c:ptCount val="2"/>
                <c:pt idx="0">
                  <c:v>6</c:v>
                </c:pt>
                <c:pt idx="1">
                  <c:v>2</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El Tambo.xlsx]Gráficos_!TablaDinámica34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Recuperado otro año</c:v>
                  </c:pt>
                  <c:pt idx="3">
                    <c:v>Inscrito Nuevo</c:v>
                  </c:pt>
                  <c:pt idx="4">
                    <c:v>Inscrito Nuevo</c:v>
                  </c:pt>
                  <c:pt idx="5">
                    <c:v>Cambio de horario</c:v>
                  </c:pt>
                  <c:pt idx="6">
                    <c:v>Inscrito Nuevo</c:v>
                  </c:pt>
                  <c:pt idx="7">
                    <c:v>(en blanco)</c:v>
                  </c:pt>
                </c:lvl>
                <c:lvl>
                  <c:pt idx="1">
                    <c:v>Huancayo - El Tambo-Enero-Lunes-5:00 - 7:00 p. m.-45670-Inscrito Nuevo</c:v>
                  </c:pt>
                  <c:pt idx="2">
                    <c:v>Huancayo - El Tambo-Enero-Lunes-7:00 - 9:00 p. m.-45670-Recuperado otro año</c:v>
                  </c:pt>
                  <c:pt idx="3">
                    <c:v>Huancayo - El Tambo-Enero-Lunes-7:00 - 9:00 p. m.-45670-Inscrito Nuevo</c:v>
                  </c:pt>
                  <c:pt idx="4">
                    <c:v>Huancayo - El Tambo-Febrero-Miércoles-7:00 - 9:00 p. m.-45693-Inscrito Nuevo</c:v>
                  </c:pt>
                  <c:pt idx="5">
                    <c:v>Huancayo - El Tambo-Febrero-Miércoles-7:00 - 9:00 p. m.-45693-Cambio de horario</c:v>
                  </c:pt>
                  <c:pt idx="6">
                    <c:v>Huancayo - El Tambo-Marzo-Miércoles-7:00 - 9:00 p. m.-45721-Inscrito Nuevo</c:v>
                  </c:pt>
                  <c:pt idx="7">
                    <c:v>(en blanco)</c:v>
                  </c:pt>
                </c:lvl>
                <c:lvl>
                  <c:pt idx="1">
                    <c:v>13/01/2025</c:v>
                  </c:pt>
                  <c:pt idx="4">
                    <c:v>5/02/2025</c:v>
                  </c:pt>
                  <c:pt idx="6">
                    <c:v>5/03/2025</c:v>
                  </c:pt>
                  <c:pt idx="7">
                    <c:v>(en blanco)</c:v>
                  </c:pt>
                </c:lvl>
              </c:multiLvlStrCache>
            </c:multiLvlStrRef>
          </c:cat>
          <c:val>
            <c:numRef>
              <c:f>Gráficos_!$CP$45:$CP$53</c:f>
              <c:numCache>
                <c:formatCode>General</c:formatCode>
                <c:ptCount val="8"/>
                <c:pt idx="0">
                  <c:v>0</c:v>
                </c:pt>
                <c:pt idx="1">
                  <c:v>11</c:v>
                </c:pt>
                <c:pt idx="2">
                  <c:v>2</c:v>
                </c:pt>
                <c:pt idx="3">
                  <c:v>2</c:v>
                </c:pt>
                <c:pt idx="4">
                  <c:v>6</c:v>
                </c:pt>
                <c:pt idx="5">
                  <c:v>2</c:v>
                </c:pt>
                <c:pt idx="6">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Recuperado otro año</c:v>
                  </c:pt>
                  <c:pt idx="3">
                    <c:v>Inscrito Nuevo</c:v>
                  </c:pt>
                  <c:pt idx="4">
                    <c:v>Inscrito Nuevo</c:v>
                  </c:pt>
                  <c:pt idx="5">
                    <c:v>Cambio de horario</c:v>
                  </c:pt>
                  <c:pt idx="6">
                    <c:v>Inscrito Nuevo</c:v>
                  </c:pt>
                  <c:pt idx="7">
                    <c:v>(en blanco)</c:v>
                  </c:pt>
                </c:lvl>
                <c:lvl>
                  <c:pt idx="1">
                    <c:v>Huancayo - El Tambo-Enero-Lunes-5:00 - 7:00 p. m.-45670-Inscrito Nuevo</c:v>
                  </c:pt>
                  <c:pt idx="2">
                    <c:v>Huancayo - El Tambo-Enero-Lunes-7:00 - 9:00 p. m.-45670-Recuperado otro año</c:v>
                  </c:pt>
                  <c:pt idx="3">
                    <c:v>Huancayo - El Tambo-Enero-Lunes-7:00 - 9:00 p. m.-45670-Inscrito Nuevo</c:v>
                  </c:pt>
                  <c:pt idx="4">
                    <c:v>Huancayo - El Tambo-Febrero-Miércoles-7:00 - 9:00 p. m.-45693-Inscrito Nuevo</c:v>
                  </c:pt>
                  <c:pt idx="5">
                    <c:v>Huancayo - El Tambo-Febrero-Miércoles-7:00 - 9:00 p. m.-45693-Cambio de horario</c:v>
                  </c:pt>
                  <c:pt idx="6">
                    <c:v>Huancayo - El Tambo-Marzo-Miércoles-7:00 - 9:00 p. m.-45721-Inscrito Nuevo</c:v>
                  </c:pt>
                  <c:pt idx="7">
                    <c:v>(en blanco)</c:v>
                  </c:pt>
                </c:lvl>
                <c:lvl>
                  <c:pt idx="1">
                    <c:v>13/01/2025</c:v>
                  </c:pt>
                  <c:pt idx="4">
                    <c:v>5/02/2025</c:v>
                  </c:pt>
                  <c:pt idx="6">
                    <c:v>5/03/2025</c:v>
                  </c:pt>
                  <c:pt idx="7">
                    <c:v>(en blanco)</c:v>
                  </c:pt>
                </c:lvl>
              </c:multiLvlStrCache>
            </c:multiLvlStrRef>
          </c:cat>
          <c:val>
            <c:numRef>
              <c:f>Gráficos_!$CQ$45:$CQ$53</c:f>
              <c:numCache>
                <c:formatCode>General</c:formatCode>
                <c:ptCount val="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Recuperado otro año</c:v>
                  </c:pt>
                  <c:pt idx="3">
                    <c:v>Inscrito Nuevo</c:v>
                  </c:pt>
                  <c:pt idx="4">
                    <c:v>Inscrito Nuevo</c:v>
                  </c:pt>
                  <c:pt idx="5">
                    <c:v>Cambio de horario</c:v>
                  </c:pt>
                  <c:pt idx="6">
                    <c:v>Inscrito Nuevo</c:v>
                  </c:pt>
                  <c:pt idx="7">
                    <c:v>(en blanco)</c:v>
                  </c:pt>
                </c:lvl>
                <c:lvl>
                  <c:pt idx="1">
                    <c:v>Huancayo - El Tambo-Enero-Lunes-5:00 - 7:00 p. m.-45670-Inscrito Nuevo</c:v>
                  </c:pt>
                  <c:pt idx="2">
                    <c:v>Huancayo - El Tambo-Enero-Lunes-7:00 - 9:00 p. m.-45670-Recuperado otro año</c:v>
                  </c:pt>
                  <c:pt idx="3">
                    <c:v>Huancayo - El Tambo-Enero-Lunes-7:00 - 9:00 p. m.-45670-Inscrito Nuevo</c:v>
                  </c:pt>
                  <c:pt idx="4">
                    <c:v>Huancayo - El Tambo-Febrero-Miércoles-7:00 - 9:00 p. m.-45693-Inscrito Nuevo</c:v>
                  </c:pt>
                  <c:pt idx="5">
                    <c:v>Huancayo - El Tambo-Febrero-Miércoles-7:00 - 9:00 p. m.-45693-Cambio de horario</c:v>
                  </c:pt>
                  <c:pt idx="6">
                    <c:v>Huancayo - El Tambo-Marzo-Miércoles-7:00 - 9:00 p. m.-45721-Inscrito Nuevo</c:v>
                  </c:pt>
                  <c:pt idx="7">
                    <c:v>(en blanco)</c:v>
                  </c:pt>
                </c:lvl>
                <c:lvl>
                  <c:pt idx="1">
                    <c:v>13/01/2025</c:v>
                  </c:pt>
                  <c:pt idx="4">
                    <c:v>5/02/2025</c:v>
                  </c:pt>
                  <c:pt idx="6">
                    <c:v>5/03/2025</c:v>
                  </c:pt>
                  <c:pt idx="7">
                    <c:v>(en blanco)</c:v>
                  </c:pt>
                </c:lvl>
              </c:multiLvlStrCache>
            </c:multiLvlStrRef>
          </c:cat>
          <c:val>
            <c:numRef>
              <c:f>Gráficos_!$CR$45:$CR$53</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992939811" createdVersion="8" refreshedVersion="8" minRefreshableVersion="3" recordCount="1096" xr:uid="{B3EFEB6C-A465-4E0E-9E1A-011818A0C19B}">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5:00 - 7:00 p. m."/>
        <s v="7:00 - 9:00 p. m."/>
        <m/>
      </sharedItems>
    </cacheField>
    <cacheField name="Fecha Inicio grupo" numFmtId="14">
      <sharedItems containsNonDate="0" containsDate="1" containsString="0" containsBlank="1" minDate="2025-01-13T00:00:00" maxDate="2025-03-06T00:00:00" count="4">
        <d v="2025-01-13T00:00:00"/>
        <d v="2025-02-05T00:00:00"/>
        <d v="2025-03-05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587065" maxValue="999555171"/>
    </cacheField>
    <cacheField name="Correo" numFmtId="0">
      <sharedItems containsBlank="1"/>
    </cacheField>
    <cacheField name="Fecha de nac" numFmtId="14">
      <sharedItems containsNonDate="0" containsDate="1" containsString="0" containsBlank="1" minDate="1985-01-28T00:00:00" maxDate="2009-12-11T00:00:00"/>
    </cacheField>
    <cacheField name="Edad" numFmtId="0">
      <sharedItems containsMixedTypes="1" containsNumber="1" containsInteger="1" minValue="15" maxValue="40"/>
    </cacheField>
    <cacheField name="Grupo" numFmtId="0">
      <sharedItems containsBlank="1"/>
    </cacheField>
    <cacheField name="Tipo Incrito" numFmtId="0">
      <sharedItems containsBlank="1"/>
    </cacheField>
    <cacheField name="Fecha Cambio Grupo" numFmtId="0">
      <sharedItems containsNonDate="0" containsDate="1" containsString="0" containsBlank="1" minDate="2025-01-13T00:00:00" maxDate="2025-03-06T00:00:00"/>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MixedTypes="1" minDate="2025-01-27T00:00:00" maxDate="2025-03-20T00:00:00"/>
    </cacheField>
    <cacheField name="Fecha Finalización" numFmtId="14">
      <sharedItems containsDate="1" containsMixedTypes="1" minDate="2025-04-13T00:00:00" maxDate="2025-06-06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03T00:00:00" maxDate="2025-03-27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3T00:00:00" endDate="2025-03-06T00:00:00"/>
        <groupItems count="368">
          <s v="&lt;13/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6/03/2025"/>
        </groupItems>
      </fieldGroup>
    </cacheField>
    <cacheField name="Meses (Fecha Inicio grupo)" numFmtId="0" databaseField="0">
      <fieldGroup base="4">
        <rangePr groupBy="months" startDate="2025-01-13T00:00:00" endDate="2025-03-06T00:00:00"/>
        <groupItems count="14">
          <s v="&lt;13/01/2025"/>
          <s v="Ene"/>
          <s v="Feb"/>
          <s v="Mar"/>
          <s v="Abr"/>
          <s v="May"/>
          <s v="Jun"/>
          <s v="Jul"/>
          <s v="Ago"/>
          <s v="Set"/>
          <s v="Oct"/>
          <s v="Nov"/>
          <s v="Dic"/>
          <s v="&gt;6/03/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993171296"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Oratoria y Filosofía"/>
        <m/>
        <s v="Conócete a ti mismo" u="1"/>
        <s v="Conócete a Ti Mismo y Oratoria" u="1"/>
      </sharedItems>
    </cacheField>
    <cacheField name="Mes Inscrito" numFmtId="0">
      <sharedItems containsBlank="1" count="11">
        <s v="Enero"/>
        <s v="Febrero"/>
        <s v="Marzo"/>
        <m/>
        <s v="Abril" u="1"/>
        <s v="Mayo" u="1"/>
        <s v="Junio" u="1"/>
        <s v="Julio" u="1"/>
        <s v="Septiembre" u="1"/>
        <s v="Octubre" u="1"/>
        <s v="Noviembre" u="1"/>
      </sharedItems>
    </cacheField>
    <cacheField name="Dia de clases Inscrito" numFmtId="49">
      <sharedItems containsBlank="1" count="8">
        <s v="Lunes"/>
        <s v="Miércoles"/>
        <m/>
        <s v="Lunes - Miércoles" u="1"/>
        <s v="Martes - Jueves" u="1"/>
        <s v="Martes" u="1"/>
        <s v="Jueves" u="1"/>
        <s v="sábado" u="1"/>
      </sharedItems>
    </cacheField>
    <cacheField name="Horario Inscrito" numFmtId="49">
      <sharedItems containsBlank="1" count="7">
        <s v="5:00 - 7:00 p. m."/>
        <s v="7:00 - 9:00 p. m."/>
        <m/>
        <s v="7-9pm" u="1"/>
        <s v="6:30 - 8:30" u="1"/>
        <s v="4:00 - 5:50" u="1"/>
        <s v="7:30 a 9:30 p.m." u="1"/>
      </sharedItems>
    </cacheField>
    <cacheField name="Fecha Inicio grupo" numFmtId="14">
      <sharedItems containsNonDate="0" containsDate="1" containsString="0" containsBlank="1" minDate="2024-01-15T00:00:00" maxDate="2025-03-06T00:00:00" count="18">
        <d v="2025-01-13T00:00:00"/>
        <d v="2025-02-05T00:00:00"/>
        <d v="2025-03-05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587065" maxValue="999555171"/>
    </cacheField>
    <cacheField name="Correo" numFmtId="0">
      <sharedItems containsBlank="1"/>
    </cacheField>
    <cacheField name="Fecha de nac" numFmtId="14">
      <sharedItems containsNonDate="0" containsDate="1" containsString="0" containsBlank="1" minDate="1985-01-28T00:00:00" maxDate="2009-12-11T00:00:00"/>
    </cacheField>
    <cacheField name="Edad" numFmtId="0">
      <sharedItems containsMixedTypes="1" containsNumber="1" containsInteger="1" minValue="15" maxValue="40"/>
    </cacheField>
    <cacheField name="Grupo" numFmtId="0">
      <sharedItems containsBlank="1"/>
    </cacheField>
    <cacheField name="Tipo Incrito" numFmtId="0">
      <sharedItems containsBlank="1" count="5">
        <s v="Inscrito Nuevo"/>
        <s v="Recuperado otro año"/>
        <s v="Cambio de horario"/>
        <m/>
        <s v="Recuperado 2024" u="1"/>
      </sharedItems>
    </cacheField>
    <cacheField name="Fecha Cambio Grupo" numFmtId="0">
      <sharedItems containsNonDate="0" containsDate="1" containsString="0" containsBlank="1" minDate="2025-01-13T00:00:00" maxDate="2025-03-06T00:00:00"/>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MixedTypes="1" minDate="2025-01-27T00:00:00" maxDate="2025-03-20T00:00:00"/>
    </cacheField>
    <cacheField name="Fecha Finalización" numFmtId="14">
      <sharedItems containsDate="1" containsMixedTypes="1" minDate="2025-04-13T00:00:00" maxDate="2025-06-06T00:00:00"/>
    </cacheField>
    <cacheField name="Ética" numFmtId="0">
      <sharedItems containsBlank="1" count="9">
        <s v="Angie Lopez"/>
        <s v="Marta Meza"/>
        <m/>
        <s v="Erick" u="1"/>
        <s v="Rosmery Ruiz Cuarez " u="1"/>
        <s v="Yeni R. Arce Prado" u="1"/>
        <s v="Erick F. Meza Macedo" u="1"/>
        <s v="Daniel J. CHico Vallejo" u="1"/>
        <s v="Angélica del C." u="1"/>
      </sharedItems>
    </cacheField>
    <cacheField name="Soc - FH" numFmtId="0">
      <sharedItems containsBlank="1" count="9">
        <s v="Angie Lopez"/>
        <s v="Marta Mez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4">
        <s v="Huancayo - El Tambo-Enero-Lunes-5:00 - 7:00 p. m.-45670-Inscrito Nuevo"/>
        <s v="Huancayo - El Tambo-Enero-Lunes-7:00 - 9:00 p. m.-45670-Recuperado otro año"/>
        <s v="Huancayo - El Tambo-Enero-Lunes-7:00 - 9:00 p. m.-45670-Inscrito Nuevo"/>
        <s v="Huancayo - El Tambo-Febrero-Miércoles-7:00 - 9:00 p. m.-45693-Inscrito Nuevo"/>
        <s v="Huancayo - El Tambo-Febrero-Miércoles-7:00 - 9:00 p. m.-45693-Cambio de horario"/>
        <s v="Huancayo - El Tambo-Marzo-Miércoles-7:00 - 9:00 p. m.-45721-Inscrito Nuevo"/>
        <s v=""/>
        <s v="Huancayo - El Tambo-Enero-Lunes-5:00 - 7:00 p. m.-45670-"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3T00:00:00" endDate="2025-03-06T00:00:00"/>
        <groupItems count="368">
          <s v="&lt;13/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6/03/2025"/>
        </groupItems>
      </fieldGroup>
    </cacheField>
    <cacheField name="Meses (Fecha Inicio grupo)" numFmtId="0" databaseField="0">
      <fieldGroup base="4">
        <rangePr groupBy="months" startDate="2025-01-13T00:00:00" endDate="2025-03-06T00:00:00"/>
        <groupItems count="14">
          <s v="&lt;13/01/2025"/>
          <s v="Ene"/>
          <s v="Feb"/>
          <s v="Mar"/>
          <s v="Abr"/>
          <s v="May"/>
          <s v="Jun"/>
          <s v="Jul"/>
          <s v="Ago"/>
          <s v="Set"/>
          <s v="Oct"/>
          <s v="Nov"/>
          <s v="Dic"/>
          <s v="&gt;6/0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99317129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Oratoria y Filosofía"/>
        <s v=""/>
        <s v="Conócete a ti mismo" u="1"/>
        <s v="Conócete a Ti Mismo y Oratoria" u="1"/>
      </sharedItems>
    </cacheField>
    <cacheField name="Fecha Inicio grupo" numFmtId="0">
      <sharedItems containsDate="1" containsMixedTypes="1" minDate="2024-01-15T00:00:00" maxDate="2025-03-06T00:00:00" count="17">
        <d v="2025-01-13T00:00:00"/>
        <d v="2025-02-05T00:00:00"/>
        <d v="2025-03-05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4">
        <s v="January"/>
        <s v="February"/>
        <s v="March"/>
        <s v=""/>
        <s v="Enero" u="1"/>
        <s v="Febrero" u="1"/>
        <s v="Marzo" u="1"/>
        <s v="Abril" u="1"/>
        <s v="Mayo" u="1"/>
        <s v="Junio" u="1"/>
        <s v="Julio" u="1"/>
        <s v="Setiembre" u="1"/>
        <s v="Octubre" u="1"/>
        <s v="Noviembre" u="1"/>
      </sharedItems>
    </cacheField>
    <cacheField name="Año Inscrito" numFmtId="0">
      <sharedItems containsBlank="1"/>
    </cacheField>
    <cacheField name="Tipo Incrito" numFmtId="0">
      <sharedItems count="5">
        <s v="Inscrito Nuevo"/>
        <s v="Recuperado otro año"/>
        <s v="Cambio de horario"/>
        <s v=""/>
        <s v="Recuperado 2024" u="1"/>
      </sharedItems>
    </cacheField>
    <cacheField name="Ética" numFmtId="0">
      <sharedItems count="9">
        <s v="Angie Lopez"/>
        <s v="Marta Meza"/>
        <s v=""/>
        <s v="Erick" u="1"/>
        <s v="Rosmery Ruiz Cuarez " u="1"/>
        <s v="Yeni R. Arce Prado" u="1"/>
        <s v="Erick F. Meza Macedo" u="1"/>
        <s v="Daniel J. CHico Vallejo" u="1"/>
        <s v="Angélica del C." u="1"/>
      </sharedItems>
    </cacheField>
    <cacheField name="Soc - FH" numFmtId="0">
      <sharedItems count="9">
        <s v="Angie Lopez"/>
        <s v="Marta Meza"/>
        <s v=""/>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11"/>
    </cacheField>
    <cacheField name="I" numFmtId="0">
      <sharedItems containsNonDate="0" containsString="0" containsBlank="1"/>
    </cacheField>
    <cacheField name="Sem. 01" numFmtId="0">
      <sharedItems containsMixedTypes="1" containsNumber="1" containsInteger="1" minValue="0" maxValue="8"/>
    </cacheField>
    <cacheField name="Sem. 02" numFmtId="0">
      <sharedItems containsMixedTypes="1" containsNumber="1" containsInteger="1" minValue="0" maxValue="9"/>
    </cacheField>
    <cacheField name="Sem. 03" numFmtId="0">
      <sharedItems containsMixedTypes="1" containsNumber="1" containsInteger="1" minValue="0" maxValue="10"/>
    </cacheField>
    <cacheField name="Sem. 04" numFmtId="0">
      <sharedItems containsMixedTypes="1" containsNumber="1" containsInteger="1" minValue="0" maxValue="8"/>
    </cacheField>
    <cacheField name="Sem. 05" numFmtId="0">
      <sharedItems containsMixedTypes="1" containsNumber="1" containsInteger="1" minValue="0" maxValue="5"/>
    </cacheField>
    <cacheField name="Sem. 06" numFmtId="0">
      <sharedItems containsMixedTypes="1" containsNumber="1" containsInteger="1" minValue="0" maxValue="8"/>
    </cacheField>
    <cacheField name="Sem. 07" numFmtId="0">
      <sharedItems containsMixedTypes="1" containsNumber="1" containsInteger="1" minValue="0" maxValue="6"/>
    </cacheField>
    <cacheField name="Sem. 08" numFmtId="0">
      <sharedItems containsMixedTypes="1" containsNumber="1" containsInteger="1" minValue="0" maxValue="8"/>
    </cacheField>
    <cacheField name="Sem. 09" numFmtId="0">
      <sharedItems containsMixedTypes="1" containsNumber="1" containsInteger="1" minValue="0" maxValue="6"/>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69899317129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Huancayo - El Tambo-Enero-Lunes-5:00 - 7:00 p. m.-45670-Inscrito Nuevo"/>
        <s v="Huancayo - El Tambo-Enero-Lunes-7:00 - 9:00 p. m.-45670-Recuperado otro año"/>
        <s v="Huancayo - El Tambo-Enero-Lunes-7:00 - 9:00 p. m.-45670-Inscrito Nuevo"/>
        <s v="Huancayo - El Tambo-Febrero-Miércoles-7:00 - 9:00 p. m.-45693-Inscrito Nuevo"/>
        <s v="Huancayo - El Tambo-Febrero-Miércoles-7:00 - 9:00 p. m.-45693-Cambio de horario"/>
        <s v="Huancayo - El Tambo-Marzo-Miércoles-7:00 - 9:00 p. m.-45721-Inscrito Nuevo"/>
        <s v=""/>
        <m/>
        <s v="Huancayo - El Tambo-Enero-Lunes-5:00 - 7:00 p. m.-45670-"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Oratoria y Filosofía"/>
        <s v=""/>
        <m/>
        <s v="Conócete a ti mismo" u="1"/>
        <s v="Conócete a Ti Mismo y Oratoria" u="1"/>
        <s v="(blank)" u="1"/>
      </sharedItems>
    </cacheField>
    <cacheField name="Fecha Inicio grupo" numFmtId="0">
      <sharedItems containsDate="1" containsBlank="1" containsMixedTypes="1" minDate="2024-01-15T00:00:00" maxDate="2025-03-06T00:00:00" count="20">
        <d v="2025-01-13T00:00:00"/>
        <d v="2025-02-05T00:00:00"/>
        <d v="2025-03-05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January"/>
        <s v="February"/>
        <s v="March"/>
        <s v=""/>
        <m/>
        <s v="Enero" u="1"/>
        <s v="Febrero" u="1"/>
        <s v="Marz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Recuperado otro año"/>
        <s v="Cambio de horari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11"/>
    </cacheField>
    <cacheField name="I" numFmtId="0">
      <sharedItems containsNonDate="0" containsString="0" containsBlank="1"/>
    </cacheField>
    <cacheField name="Sem. 01" numFmtId="0">
      <sharedItems containsBlank="1" containsMixedTypes="1" containsNumber="1" containsInteger="1" minValue="0" maxValue="8"/>
    </cacheField>
    <cacheField name="Sem. 02" numFmtId="0">
      <sharedItems containsBlank="1" containsMixedTypes="1" containsNumber="1" containsInteger="1" minValue="0" maxValue="9"/>
    </cacheField>
    <cacheField name="Sem. 03" numFmtId="0">
      <sharedItems containsBlank="1" containsMixedTypes="1" containsNumber="1" containsInteger="1" minValue="0" maxValue="10"/>
    </cacheField>
    <cacheField name="Sem. 04" numFmtId="0">
      <sharedItems containsBlank="1" containsMixedTypes="1" containsNumber="1" containsInteger="1" minValue="0" maxValue="8"/>
    </cacheField>
    <cacheField name="Sem. 05" numFmtId="0">
      <sharedItems containsBlank="1" containsMixedTypes="1" containsNumber="1" containsInteger="1" minValue="0" maxValue="5"/>
    </cacheField>
    <cacheField name="Sem. 06" numFmtId="0">
      <sharedItems containsBlank="1" containsMixedTypes="1" containsNumber="1" containsInteger="1" minValue="0" maxValue="8"/>
    </cacheField>
    <cacheField name="Sem. 07" numFmtId="0">
      <sharedItems containsBlank="1" containsMixedTypes="1" containsNumber="1" containsInteger="1" minValue="0" maxValue="6"/>
    </cacheField>
    <cacheField name="Sem. 08" numFmtId="0">
      <sharedItems containsBlank="1" containsMixedTypes="1" containsNumber="1" containsInteger="1" minValue="0" maxValue="8"/>
    </cacheField>
    <cacheField name="Sem. 09" numFmtId="0">
      <sharedItems containsBlank="1" containsMixedTypes="1" containsNumber="1" containsInteger="1" minValue="0" maxValue="6"/>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Oratoria y Filosofía"/>
    <s v="Enero"/>
    <s v="Lunes"/>
    <x v="0"/>
    <x v="0"/>
    <m/>
    <s v="60002684"/>
    <s v="Avigail Yunmi"/>
    <s v="Valer Valladares"/>
    <n v="915067447"/>
    <s v="avigailyum@gmail.com"/>
    <d v="2006-09-20T00:00:00"/>
    <n v="18"/>
    <s v="Amon I"/>
    <s v="Inscrito Nuevo"/>
    <m/>
    <m/>
    <m/>
    <m/>
    <d v="2025-01-27T00:00:00"/>
    <d v="2025-04-13T00:00:00"/>
    <s v="Angie Lopez"/>
    <s v="Angie Lopez"/>
    <s v="P"/>
    <s v="P"/>
    <s v="P"/>
    <s v="P"/>
    <s v="F"/>
    <s v="P"/>
    <s v="P"/>
    <s v="P"/>
    <s v="P"/>
    <m/>
    <m/>
    <m/>
    <m/>
    <m/>
    <m/>
    <m/>
    <m/>
    <s v="Asistió"/>
    <m/>
    <m/>
    <m/>
    <m/>
    <m/>
    <m/>
    <m/>
    <d v="2025-06-30T00:00:00"/>
    <m/>
    <d v="2025-07-31T00:00:00"/>
    <m/>
    <m/>
    <s v="Contacto Personal"/>
    <s v="PPP"/>
    <s v="Huancayo - El Tambo-Enero-Lunes-5:00-7:00p.m.-45670"/>
    <s v="Oratoria y Filosofía"/>
    <s v="Huancayo - El Tambo-Enero-Lunes-5:00 - 7:00 p. m.-45670-Inscrito Nuevo"/>
    <b v="0"/>
    <d v="2025-02-03T00:00:00"/>
    <s v="ALTA"/>
    <s v="01/01/1900"/>
  </r>
  <r>
    <s v="Oratoria y Filosofía"/>
    <s v="Enero"/>
    <s v="Lunes"/>
    <x v="0"/>
    <x v="0"/>
    <m/>
    <s v="60891378"/>
    <s v="Claudia Estefany"/>
    <s v="Quispe Chirinos"/>
    <n v="980650401"/>
    <s v="moonc0256@gmail.com"/>
    <d v="2007-01-06T00:00:00"/>
    <n v="18"/>
    <s v="Amon I"/>
    <s v="Inscrito Nuevo"/>
    <m/>
    <m/>
    <m/>
    <m/>
    <d v="2025-01-27T00:00:00"/>
    <d v="2025-04-13T00:00:00"/>
    <s v="Angie Lopez"/>
    <s v="Angie Lopez"/>
    <s v="P"/>
    <s v="P"/>
    <s v="P"/>
    <s v="P"/>
    <s v="F"/>
    <s v="P"/>
    <s v="P"/>
    <s v="P"/>
    <s v="P"/>
    <m/>
    <m/>
    <m/>
    <m/>
    <m/>
    <m/>
    <m/>
    <m/>
    <s v="Asistió"/>
    <m/>
    <m/>
    <m/>
    <m/>
    <m/>
    <m/>
    <m/>
    <d v="2025-06-30T00:00:00"/>
    <m/>
    <d v="2025-07-31T00:00:00"/>
    <m/>
    <m/>
    <s v="Contacto Personal"/>
    <s v="PPP"/>
    <s v="Huancayo - El Tambo-Enero-Lunes-5:00-7:00p.m.-45670"/>
    <s v="Oratoria y Filosofía"/>
    <s v="Huancayo - El Tambo-Enero-Lunes-5:00 - 7:00 p. m.-45670-Inscrito Nuevo"/>
    <b v="0"/>
    <d v="2025-02-03T00:00:00"/>
    <s v="ALTA"/>
    <s v="01/01/1900"/>
  </r>
  <r>
    <s v="Oratoria y Filosofía"/>
    <s v="Enero"/>
    <s v="Lunes"/>
    <x v="0"/>
    <x v="0"/>
    <m/>
    <s v="60750889"/>
    <s v="Gerardo Kristian"/>
    <s v="Guerra Obispo"/>
    <n v="940864298"/>
    <s v="gerard12222@gmail.com"/>
    <d v="2006-06-03T00:00:00"/>
    <n v="18"/>
    <s v="Amon I"/>
    <s v="Inscrito Nuevo"/>
    <m/>
    <m/>
    <m/>
    <m/>
    <d v="2025-01-27T00:00:00"/>
    <d v="2025-04-13T00:00:00"/>
    <s v="Angie Lopez"/>
    <s v="Angie Lopez"/>
    <s v="P"/>
    <s v="P"/>
    <s v="P"/>
    <s v="P"/>
    <s v="F"/>
    <s v="P"/>
    <s v="P"/>
    <s v="P"/>
    <s v="P"/>
    <m/>
    <m/>
    <m/>
    <m/>
    <m/>
    <m/>
    <m/>
    <m/>
    <s v="Asistió"/>
    <m/>
    <m/>
    <m/>
    <m/>
    <m/>
    <m/>
    <m/>
    <d v="2025-06-30T00:00:00"/>
    <m/>
    <d v="2025-07-31T00:00:00"/>
    <m/>
    <m/>
    <s v="Contacto Personal"/>
    <s v="PPP"/>
    <s v="Huancayo - El Tambo-Enero-Lunes-5:00-7:00p.m.-45670"/>
    <s v="Oratoria y Filosofía"/>
    <s v="Huancayo - El Tambo-Enero-Lunes-5:00 - 7:00 p. m.-45670-Inscrito Nuevo"/>
    <b v="0"/>
    <d v="2025-02-03T00:00:00"/>
    <s v="ALTA"/>
    <s v="01/01/1900"/>
  </r>
  <r>
    <s v="Oratoria y Filosofía"/>
    <s v="Enero"/>
    <s v="Lunes"/>
    <x v="0"/>
    <x v="0"/>
    <m/>
    <s v="75564433"/>
    <s v="Anahi Scarlet"/>
    <s v="Martinez Hayqui"/>
    <n v="954818221"/>
    <s v="anahimartinezhayqui64@gmail.com"/>
    <d v="2006-03-13T00:00:00"/>
    <n v="18"/>
    <s v="Amon I"/>
    <s v="Inscrito Nuevo"/>
    <m/>
    <m/>
    <m/>
    <m/>
    <d v="2025-01-27T00:00:00"/>
    <d v="2025-04-13T00:00:00"/>
    <s v="Angie Lopez"/>
    <s v="Angie Lopez"/>
    <s v="P"/>
    <s v="P"/>
    <s v="P"/>
    <s v="P"/>
    <s v="P"/>
    <s v="P"/>
    <s v="F"/>
    <s v="P"/>
    <s v="F"/>
    <m/>
    <m/>
    <m/>
    <m/>
    <m/>
    <m/>
    <m/>
    <m/>
    <s v="Asistió"/>
    <m/>
    <m/>
    <m/>
    <m/>
    <m/>
    <m/>
    <m/>
    <d v="2025-06-30T00:00:00"/>
    <m/>
    <d v="2025-07-31T00:00:00"/>
    <m/>
    <m/>
    <s v="Redes sociales"/>
    <s v="PPP"/>
    <s v="Huancayo - El Tambo-Enero-Lunes-5:00-7:00p.m.-45670"/>
    <s v="Oratoria y Filosofía"/>
    <s v="Huancayo - El Tambo-Enero-Lunes-5:00 - 7:00 p. m.-45670-Inscrito Nuevo"/>
    <b v="0"/>
    <d v="2025-02-03T00:00:00"/>
    <s v="ALTA"/>
    <s v="01/01/1900"/>
  </r>
  <r>
    <s v="Oratoria y Filosofía"/>
    <s v="Enero"/>
    <s v="Lunes"/>
    <x v="0"/>
    <x v="0"/>
    <m/>
    <s v="60891342"/>
    <s v="Andrea Angely"/>
    <s v="Quijada Torres"/>
    <n v="971464096"/>
    <s v="andreapuerta404@gmail.com"/>
    <d v="2006-12-22T00:00:00"/>
    <n v="18"/>
    <s v="Amon I"/>
    <s v="Inscrito Nuevo"/>
    <m/>
    <m/>
    <m/>
    <m/>
    <d v="2025-01-27T00:00:00"/>
    <d v="2025-04-13T00:00:00"/>
    <s v="Angie Lopez"/>
    <s v="Angie Lopez"/>
    <s v="P"/>
    <s v="P"/>
    <s v="P"/>
    <s v="P"/>
    <s v="P"/>
    <s v="P"/>
    <s v="F"/>
    <s v="P"/>
    <s v="P"/>
    <m/>
    <m/>
    <m/>
    <m/>
    <m/>
    <m/>
    <m/>
    <m/>
    <s v="Asistió"/>
    <m/>
    <m/>
    <m/>
    <m/>
    <m/>
    <m/>
    <m/>
    <d v="2025-06-30T00:00:00"/>
    <m/>
    <d v="2025-07-31T00:00:00"/>
    <m/>
    <m/>
    <s v="Web"/>
    <s v="PPP"/>
    <s v="Huancayo - El Tambo-Enero-Lunes-5:00-7:00p.m.-45670"/>
    <s v="Oratoria y Filosofía"/>
    <s v="Huancayo - El Tambo-Enero-Lunes-5:00 - 7:00 p. m.-45670-Inscrito Nuevo"/>
    <b v="0"/>
    <d v="2025-02-03T00:00:00"/>
    <s v="ALTA"/>
    <s v="01/01/1900"/>
  </r>
  <r>
    <s v="Oratoria y Filosofía"/>
    <s v="Enero"/>
    <s v="Lunes"/>
    <x v="0"/>
    <x v="0"/>
    <m/>
    <s v="70343194"/>
    <s v="Lizeth Angela"/>
    <s v="Nuñez Macha"/>
    <n v="972074116"/>
    <s v="lizeth.numa27@gmail.com"/>
    <d v="1994-03-27T00:00:00"/>
    <n v="30"/>
    <s v="Amon I"/>
    <s v="Inscrito Nuevo"/>
    <m/>
    <m/>
    <m/>
    <m/>
    <d v="2025-01-27T00:00:00"/>
    <d v="2025-04-13T00:00:00"/>
    <s v="Angie Lopez"/>
    <s v="Angie Lopez"/>
    <s v="P"/>
    <s v="P"/>
    <s v="P"/>
    <s v="P"/>
    <s v="P"/>
    <s v="F"/>
    <s v="P"/>
    <s v="P"/>
    <s v="P"/>
    <m/>
    <m/>
    <m/>
    <m/>
    <m/>
    <m/>
    <m/>
    <m/>
    <s v="Asistió"/>
    <m/>
    <m/>
    <m/>
    <m/>
    <m/>
    <m/>
    <m/>
    <d v="2025-06-30T00:00:00"/>
    <m/>
    <d v="2025-07-31T00:00:00"/>
    <m/>
    <m/>
    <s v="Contacto Personal"/>
    <s v="PPP"/>
    <s v="Huancayo - El Tambo-Enero-Lunes-5:00-7:00p.m.-45670"/>
    <s v="Oratoria y Filosofía"/>
    <s v="Huancayo - El Tambo-Enero-Lunes-5:00 - 7:00 p. m.-45670-Inscrito Nuevo"/>
    <b v="0"/>
    <d v="2025-02-03T00:00:00"/>
    <s v="ALTA"/>
    <s v="01/01/1900"/>
  </r>
  <r>
    <s v="Oratoria y Filosofía"/>
    <s v="Enero"/>
    <s v="Lunes"/>
    <x v="0"/>
    <x v="0"/>
    <m/>
    <s v="61203586"/>
    <s v="Michael Leonardo"/>
    <s v="Monroy Espíritu"/>
    <n v="954077635"/>
    <s v="leomonroyespiritu30@gmail.com"/>
    <d v="2007-09-30T00:00:00"/>
    <n v="17"/>
    <s v="Amon I"/>
    <s v="Inscrito Nuevo"/>
    <m/>
    <m/>
    <m/>
    <m/>
    <d v="2025-01-27T00:00:00"/>
    <d v="2025-04-13T00:00:00"/>
    <s v="Angie Lopez"/>
    <s v="Angie Lopez"/>
    <s v="P"/>
    <s v="P"/>
    <s v="P"/>
    <s v="P"/>
    <s v="F"/>
    <s v="P"/>
    <s v="P"/>
    <s v="F"/>
    <s v="F"/>
    <m/>
    <m/>
    <m/>
    <m/>
    <m/>
    <m/>
    <m/>
    <m/>
    <s v="Asistió"/>
    <m/>
    <m/>
    <m/>
    <m/>
    <m/>
    <m/>
    <m/>
    <d v="2025-06-30T00:00:00"/>
    <m/>
    <d v="2025-07-31T00:00:00"/>
    <m/>
    <m/>
    <s v="Redes sociales"/>
    <s v="PPP"/>
    <s v="Huancayo - El Tambo-Enero-Lunes-5:00-7:00p.m.-45670"/>
    <s v="Oratoria y Filosofía"/>
    <s v="Huancayo - El Tambo-Enero-Lunes-5:00 - 7:00 p. m.-45670-Inscrito Nuevo"/>
    <b v="0"/>
    <d v="2025-02-03T00:00:00"/>
    <s v="ALTA"/>
    <s v="01/01/1900"/>
  </r>
  <r>
    <s v="Oratoria y Filosofía"/>
    <s v="Enero"/>
    <s v="Lunes"/>
    <x v="0"/>
    <x v="0"/>
    <m/>
    <s v="73198434"/>
    <s v="Fabiola"/>
    <s v="Soriano Gamonal"/>
    <n v="952047053"/>
    <s v="fasoriano23@gmail.com"/>
    <d v="2002-02-23T00:00:00"/>
    <n v="23"/>
    <s v="Amon I"/>
    <s v="Inscrito Nuevo"/>
    <m/>
    <m/>
    <m/>
    <m/>
    <d v="2025-01-27T00:00:00"/>
    <d v="2025-04-13T00:00:00"/>
    <s v="Angie Lopez"/>
    <s v="Angie Lopez"/>
    <s v="P"/>
    <s v="F"/>
    <s v="F"/>
    <s v="F"/>
    <s v="F"/>
    <s v="F"/>
    <s v="F"/>
    <s v="F"/>
    <s v="F"/>
    <m/>
    <m/>
    <m/>
    <m/>
    <m/>
    <m/>
    <m/>
    <m/>
    <s v="No Asistió"/>
    <m/>
    <m/>
    <m/>
    <m/>
    <m/>
    <m/>
    <m/>
    <d v="2025-06-30T00:00:00"/>
    <m/>
    <d v="2025-07-31T00:00:00"/>
    <m/>
    <m/>
    <s v="Contacto Personal"/>
    <s v="PFF"/>
    <s v="Huancayo - El Tambo-Enero-Lunes-5:00-7:00p.m.-45670"/>
    <s v="Oratoria y Filosofía"/>
    <s v="Huancayo - El Tambo-Enero-Lunes-5:00 - 7:00 p. m.-45670-Inscrito Nuevo"/>
    <b v="0"/>
    <d v="2025-02-03T00:00:00"/>
    <s v="ALTA"/>
    <s v="01/01/1900"/>
  </r>
  <r>
    <s v="Oratoria y Filosofía"/>
    <s v="Enero"/>
    <s v="Lunes"/>
    <x v="0"/>
    <x v="0"/>
    <m/>
    <s v="71449227"/>
    <s v="Luiggi"/>
    <s v="Baldeón Morales"/>
    <n v="933048288"/>
    <s v="luiggiklk123@gmail.com"/>
    <d v="1997-12-13T00:00:00"/>
    <n v="27"/>
    <s v="Amon I"/>
    <s v="Inscrito Nuevo"/>
    <m/>
    <m/>
    <m/>
    <m/>
    <d v="2025-01-27T00:00:00"/>
    <d v="2025-04-13T00:00:00"/>
    <s v="Angie Lopez"/>
    <s v="Angie Lopez"/>
    <s v="N"/>
    <s v="P"/>
    <s v="P"/>
    <s v="F"/>
    <s v="P"/>
    <s v="P"/>
    <s v="P"/>
    <s v="P"/>
    <s v="F"/>
    <m/>
    <m/>
    <m/>
    <m/>
    <m/>
    <m/>
    <m/>
    <m/>
    <s v="Asistió"/>
    <m/>
    <m/>
    <m/>
    <m/>
    <m/>
    <m/>
    <m/>
    <d v="2025-06-30T00:00:00"/>
    <m/>
    <d v="2025-07-31T00:00:00"/>
    <m/>
    <m/>
    <s v="Propag.Impresa"/>
    <s v="NPP"/>
    <s v="Huancayo - El Tambo-Enero-Lunes-5:00-7:00p.m.-45670"/>
    <s v="Oratoria y Filosofía"/>
    <s v="Huancayo - El Tambo-Enero-Lunes-5:00 - 7:00 p. m.-45670-Inscrito Nuevo"/>
    <b v="0"/>
    <d v="2025-02-03T00:00:00"/>
    <s v="ALTA"/>
    <s v="01/01/1900"/>
  </r>
  <r>
    <s v="Oratoria y Filosofía"/>
    <s v="Enero"/>
    <s v="Lunes"/>
    <x v="0"/>
    <x v="0"/>
    <m/>
    <s v="60418860"/>
    <s v="Mireya Lizeth"/>
    <s v="Barrientos de la Cruz"/>
    <n v="924192729"/>
    <s v="mireyadelacruz53@gmail.com"/>
    <d v="2006-02-26T00:00:00"/>
    <n v="19"/>
    <s v="Amon I"/>
    <s v="Inscrito Nuevo"/>
    <m/>
    <m/>
    <m/>
    <m/>
    <d v="2025-01-27T00:00:00"/>
    <d v="2025-04-13T00:00:00"/>
    <s v="Angie Lopez"/>
    <s v="Angie Lopez"/>
    <s v="N"/>
    <s v="P"/>
    <s v="P"/>
    <s v="P"/>
    <s v="P"/>
    <s v="P"/>
    <s v="F"/>
    <s v="P"/>
    <s v="P"/>
    <m/>
    <m/>
    <m/>
    <m/>
    <m/>
    <m/>
    <m/>
    <m/>
    <s v="Asistió"/>
    <m/>
    <m/>
    <m/>
    <m/>
    <m/>
    <m/>
    <m/>
    <d v="2025-06-30T00:00:00"/>
    <m/>
    <d v="2025-07-31T00:00:00"/>
    <m/>
    <m/>
    <s v="Contacto Personal"/>
    <s v="NPP"/>
    <s v="Huancayo - El Tambo-Enero-Lunes-5:00-7:00p.m.-45670"/>
    <s v="Oratoria y Filosofía"/>
    <s v="Huancayo - El Tambo-Enero-Lunes-5:00 - 7:00 p. m.-45670-Inscrito Nuevo"/>
    <b v="0"/>
    <d v="2025-02-03T00:00:00"/>
    <s v="ALTA"/>
    <s v="01/01/1900"/>
  </r>
  <r>
    <s v="Oratoria y Filosofía"/>
    <s v="Enero"/>
    <s v="Lunes"/>
    <x v="0"/>
    <x v="0"/>
    <m/>
    <s v="71231659"/>
    <s v="Marianella "/>
    <s v="Gutierrez Pillpe"/>
    <n v="976634806"/>
    <s v="marianella.gp11@gmail.com"/>
    <d v="1999-02-11T00:00:00"/>
    <n v="26"/>
    <s v="Amon I"/>
    <s v="Inscrito Nuevo"/>
    <m/>
    <m/>
    <m/>
    <m/>
    <d v="2025-01-27T00:00:00"/>
    <d v="2025-04-13T00:00:00"/>
    <s v="Angie Lopez"/>
    <s v="Angie Lopez"/>
    <s v="F"/>
    <s v="F"/>
    <s v="P"/>
    <s v="F"/>
    <s v="F"/>
    <s v="F"/>
    <s v="F"/>
    <s v="F"/>
    <s v="F"/>
    <m/>
    <m/>
    <m/>
    <m/>
    <m/>
    <m/>
    <m/>
    <m/>
    <s v="Asistió"/>
    <m/>
    <m/>
    <m/>
    <m/>
    <m/>
    <m/>
    <m/>
    <d v="2025-06-30T00:00:00"/>
    <m/>
    <d v="2025-07-31T00:00:00"/>
    <m/>
    <m/>
    <s v="Contacto Personal"/>
    <s v="FFP"/>
    <s v="Huancayo - El Tambo-Enero-Lunes-5:00-7:00p.m.-45670"/>
    <s v="Oratoria y Filosofía"/>
    <s v="Huancayo - El Tambo-Enero-Lunes-5:00 - 7:00 p. m.-45670-Inscrito Nuevo"/>
    <b v="0"/>
    <d v="2025-02-03T00:00:00"/>
    <s v="ALTA"/>
    <s v="01/01/1900"/>
  </r>
  <r>
    <s v="Oratoria y Filosofía"/>
    <s v="Enero"/>
    <s v="Lunes"/>
    <x v="1"/>
    <x v="0"/>
    <m/>
    <s v="72254948"/>
    <s v="Rocio Milagros"/>
    <s v="Pomahuali Gilvonio"/>
    <n v="901611944"/>
    <s v="rociomilagrospomahualigilvonio@gmail.com"/>
    <d v="2002-10-23T00:00:00"/>
    <n v="22"/>
    <s v="Amon I"/>
    <s v="Recuperado otro año"/>
    <d v="2025-01-13T00:00:00"/>
    <s v="Mayo 2024, Sede San Carlos"/>
    <s v="Sábados"/>
    <s v="3:30 - 5:30pm"/>
    <d v="2025-01-27T00:00:00"/>
    <d v="2025-04-13T00:00:00"/>
    <s v="Marta Meza"/>
    <s v="Marta Meza"/>
    <s v="P"/>
    <s v="P"/>
    <s v="P"/>
    <s v="P"/>
    <s v="F"/>
    <s v="F"/>
    <s v="CH"/>
    <s v="CH"/>
    <s v="CH"/>
    <m/>
    <m/>
    <m/>
    <m/>
    <m/>
    <m/>
    <m/>
    <m/>
    <s v="Asistió"/>
    <m/>
    <m/>
    <m/>
    <m/>
    <m/>
    <m/>
    <m/>
    <d v="2025-06-30T00:00:00"/>
    <m/>
    <d v="2025-07-31T00:00:00"/>
    <m/>
    <m/>
    <s v="Contacto Personal"/>
    <s v="PPP"/>
    <s v="Huancayo - El Tambo-Enero-Lunes-7:00-9:00p.m.-45670"/>
    <s v="Oratoria y Filosofía"/>
    <s v="Huancayo - El Tambo-Enero-Lunes-7:00 - 9:00 p. m.-45670-Recuperado otro año"/>
    <b v="0"/>
    <d v="2025-02-03T00:00:00"/>
    <s v="ALTA"/>
    <s v="01/01/1900"/>
  </r>
  <r>
    <s v="Oratoria y Filosofía"/>
    <s v="Enero"/>
    <s v="Lunes"/>
    <x v="1"/>
    <x v="0"/>
    <m/>
    <s v="61713017"/>
    <s v="Matheo Alessandro"/>
    <s v="Galindo Bravo"/>
    <n v="996689953"/>
    <s v="mathegalindo@gmail.com"/>
    <d v="2009-12-10T00:00:00"/>
    <n v="15"/>
    <s v="Amon I"/>
    <s v="Inscrito Nuevo"/>
    <m/>
    <m/>
    <m/>
    <m/>
    <d v="2025-01-27T00:00:00"/>
    <d v="2025-04-13T00:00:00"/>
    <s v="Marta Meza"/>
    <s v="Marta Meza"/>
    <s v="P"/>
    <s v="P"/>
    <s v="P"/>
    <s v="P"/>
    <s v="F"/>
    <s v="P"/>
    <s v="P"/>
    <s v="CH"/>
    <s v="CH"/>
    <m/>
    <m/>
    <m/>
    <m/>
    <m/>
    <m/>
    <m/>
    <m/>
    <s v="Asistió"/>
    <m/>
    <m/>
    <m/>
    <m/>
    <m/>
    <m/>
    <m/>
    <d v="2025-06-30T00:00:00"/>
    <m/>
    <d v="2025-07-31T00:00:00"/>
    <m/>
    <m/>
    <s v="Contacto Personal"/>
    <s v="PPP"/>
    <s v="Huancayo - El Tambo-Enero-Lunes-7:00-9:00p.m.-45670"/>
    <s v="Oratoria y Filosofía"/>
    <s v="Huancayo - El Tambo-Enero-Lunes-7:00 - 9:00 p. m.-45670-Inscrito Nuevo"/>
    <b v="0"/>
    <d v="2025-02-03T00:00:00"/>
    <s v="ALTA"/>
    <s v="01/01/1900"/>
  </r>
  <r>
    <s v="Oratoria y Filosofía"/>
    <s v="Enero"/>
    <s v="Lunes"/>
    <x v="1"/>
    <x v="0"/>
    <m/>
    <s v="77920478"/>
    <s v="Valeria Silvana"/>
    <s v="Ozco Ortiz"/>
    <n v="962427790"/>
    <m/>
    <m/>
    <s v=""/>
    <s v="Amon I"/>
    <s v="Inscrito Nuevo"/>
    <m/>
    <m/>
    <m/>
    <m/>
    <d v="2025-01-27T00:00:00"/>
    <d v="2025-04-13T00:00:00"/>
    <s v="Marta Meza"/>
    <s v="Marta Meza"/>
    <s v="P"/>
    <s v="P"/>
    <s v="P"/>
    <s v="P"/>
    <s v="CH"/>
    <s v="CH"/>
    <s v="CH"/>
    <s v="CH"/>
    <s v="CH"/>
    <m/>
    <m/>
    <m/>
    <m/>
    <m/>
    <m/>
    <m/>
    <m/>
    <s v="Asistió"/>
    <m/>
    <m/>
    <m/>
    <m/>
    <m/>
    <m/>
    <m/>
    <d v="2025-06-30T00:00:00"/>
    <m/>
    <d v="2025-07-31T00:00:00"/>
    <m/>
    <m/>
    <s v="Redes sociales"/>
    <s v="PPP"/>
    <s v="Huancayo - El Tambo-Enero-Lunes-7:00-9:00p.m.-45670"/>
    <s v="Oratoria y Filosofía"/>
    <s v="Huancayo - El Tambo-Enero-Lunes-7:00 - 9:00 p. m.-45670-Inscrito Nuevo"/>
    <b v="0"/>
    <d v="2025-02-03T00:00:00"/>
    <s v="ALTA"/>
    <s v="01/01/1900"/>
  </r>
  <r>
    <s v="Oratoria y Filosofía"/>
    <s v="Enero"/>
    <s v="Lunes"/>
    <x v="1"/>
    <x v="0"/>
    <m/>
    <s v="44017124"/>
    <s v="Elizabeth Susana"/>
    <s v="Yance Sedano"/>
    <n v="999555171"/>
    <s v="yancesedanoelizabeth@gmail.com"/>
    <d v="1985-01-28T00:00:00"/>
    <n v="40"/>
    <s v="Amon I"/>
    <s v="Recuperado otro año"/>
    <d v="2025-01-20T00:00:00"/>
    <s v="Julio 2024"/>
    <s v="Lunes"/>
    <s v="7:00 - 9:00pm"/>
    <d v="2025-01-27T00:00:00"/>
    <d v="2025-04-13T00:00:00"/>
    <s v="Marta Meza"/>
    <s v="Marta Meza"/>
    <s v="N"/>
    <s v="F"/>
    <s v="P"/>
    <s v="P"/>
    <s v="P"/>
    <s v="P"/>
    <s v="P"/>
    <s v="P"/>
    <s v="F"/>
    <m/>
    <m/>
    <m/>
    <m/>
    <m/>
    <m/>
    <m/>
    <m/>
    <s v="Asistió"/>
    <m/>
    <m/>
    <m/>
    <m/>
    <m/>
    <m/>
    <m/>
    <d v="2025-06-30T00:00:00"/>
    <m/>
    <d v="2025-07-31T00:00:00"/>
    <m/>
    <m/>
    <s v="Contacto Personal"/>
    <s v="NFP"/>
    <s v="Huancayo - El Tambo-Enero-Lunes-7:00-9:00p.m.-45670"/>
    <s v="Oratoria y Filosofía"/>
    <s v="Huancayo - El Tambo-Enero-Lunes-7:00 - 9:00 p. m.-45670-Recuperado otro año"/>
    <b v="0"/>
    <d v="2025-02-03T00:00:00"/>
    <s v="ALTA"/>
    <s v="01/01/1900"/>
  </r>
  <r>
    <s v="Oratoria y Filosofía"/>
    <s v="Febrero"/>
    <s v="Miércoles"/>
    <x v="1"/>
    <x v="1"/>
    <m/>
    <s v="74687428"/>
    <s v="Katherine Georgina"/>
    <s v="Quillatupa Alanya"/>
    <n v="959140808"/>
    <s v="georgi.alanya1406@gmail.com"/>
    <d v="1997-11-24T00:00:00"/>
    <n v="27"/>
    <m/>
    <s v="Inscrito Nuevo"/>
    <m/>
    <m/>
    <m/>
    <m/>
    <d v="2025-02-19T00:00:00"/>
    <d v="2025-05-05T00:00:00"/>
    <s v="Marta Meza"/>
    <s v="Marta Meza"/>
    <s v="F"/>
    <s v="P"/>
    <s v="P"/>
    <s v="P"/>
    <s v="F"/>
    <m/>
    <m/>
    <m/>
    <m/>
    <m/>
    <m/>
    <m/>
    <m/>
    <m/>
    <m/>
    <m/>
    <m/>
    <s v="Asistió"/>
    <m/>
    <m/>
    <m/>
    <m/>
    <m/>
    <m/>
    <m/>
    <d v="2025-07-31T00:00:00"/>
    <m/>
    <d v="2025-08-31T00:00:00"/>
    <m/>
    <m/>
    <s v="Contacto Personal"/>
    <s v="FPP"/>
    <s v="Huancayo - El Tambo-Febrero-Miércoles-7:00-9:00p.m.-45693"/>
    <s v="Oratoria y Filosofía"/>
    <s v="Huancayo - El Tambo-Febrero-Miércoles-7:00 - 9:00 p. m.-45693-Inscrito Nuevo"/>
    <b v="0"/>
    <d v="2025-02-26T00:00:00"/>
    <s v="ALTA"/>
    <s v="01/01/1900"/>
  </r>
  <r>
    <s v="Oratoria y Filosofía"/>
    <s v="Febrero"/>
    <s v="Miércoles"/>
    <x v="1"/>
    <x v="1"/>
    <m/>
    <s v="48329923"/>
    <s v="Alexanther Jhoel"/>
    <s v="Marchinares Berrocal"/>
    <n v="906868340"/>
    <s v="alex.acuario12@hotmail.com"/>
    <d v="1997-01-23T00:00:00"/>
    <n v="28"/>
    <m/>
    <s v="Inscrito Nuevo"/>
    <m/>
    <m/>
    <m/>
    <m/>
    <d v="2025-02-19T00:00:00"/>
    <d v="2025-05-05T00:00:00"/>
    <s v="Marta Meza"/>
    <s v="Marta Meza"/>
    <s v="P"/>
    <s v="P"/>
    <s v="F"/>
    <s v="F"/>
    <s v="F"/>
    <m/>
    <m/>
    <m/>
    <m/>
    <m/>
    <m/>
    <m/>
    <m/>
    <m/>
    <m/>
    <m/>
    <m/>
    <s v="Asistió"/>
    <m/>
    <m/>
    <m/>
    <m/>
    <m/>
    <m/>
    <m/>
    <d v="2025-07-31T00:00:00"/>
    <m/>
    <d v="2025-08-31T00:00:00"/>
    <m/>
    <m/>
    <s v="Redes sociales"/>
    <s v="PPF"/>
    <s v="Huancayo - El Tambo-Febrero-Miércoles-7:00-9:00p.m.-45693"/>
    <s v="Oratoria y Filosofía"/>
    <s v="Huancayo - El Tambo-Febrero-Miércoles-7:00 - 9:00 p. m.-45693-Inscrito Nuevo"/>
    <b v="0"/>
    <d v="2025-02-26T00:00:00"/>
    <s v="ALTA"/>
    <s v="01/01/1900"/>
  </r>
  <r>
    <s v="Oratoria y Filosofía"/>
    <s v="Febrero"/>
    <s v="Miércoles"/>
    <x v="1"/>
    <x v="1"/>
    <m/>
    <s v="73060876"/>
    <s v="Cristian Rafael"/>
    <s v="Lopez Gomez"/>
    <n v="944925985"/>
    <s v="lpvcrlistians@gmail.com"/>
    <d v="2002-10-04T00:00:00"/>
    <n v="22"/>
    <m/>
    <s v="Inscrito Nuevo"/>
    <m/>
    <m/>
    <m/>
    <m/>
    <d v="2025-02-19T00:00:00"/>
    <d v="2025-05-05T00:00:00"/>
    <s v="Marta Meza"/>
    <s v="Marta Meza"/>
    <s v="P"/>
    <s v="P"/>
    <s v="F"/>
    <s v="P"/>
    <s v="F"/>
    <m/>
    <m/>
    <m/>
    <m/>
    <m/>
    <m/>
    <m/>
    <m/>
    <m/>
    <m/>
    <m/>
    <m/>
    <s v="Asistió"/>
    <m/>
    <m/>
    <m/>
    <m/>
    <m/>
    <m/>
    <m/>
    <d v="2025-07-31T00:00:00"/>
    <m/>
    <d v="2025-08-31T00:00:00"/>
    <m/>
    <m/>
    <s v="Cursos"/>
    <s v="PPF"/>
    <s v="Huancayo - El Tambo-Febrero-Miércoles-7:00-9:00p.m.-45693"/>
    <s v="Oratoria y Filosofía"/>
    <s v="Huancayo - El Tambo-Febrero-Miércoles-7:00 - 9:00 p. m.-45693-Inscrito Nuevo"/>
    <b v="0"/>
    <d v="2025-02-26T00:00:00"/>
    <s v="ALTA"/>
    <s v="01/01/1900"/>
  </r>
  <r>
    <s v="Oratoria y Filosofía"/>
    <s v="Febrero"/>
    <s v="Miércoles"/>
    <x v="1"/>
    <x v="1"/>
    <m/>
    <s v="70236456"/>
    <s v="Miriam Paola"/>
    <s v="Jesus Serpa"/>
    <n v="985308182"/>
    <s v="mjesuss.ing25@gmail.com"/>
    <d v="1996-12-12T00:00:00"/>
    <n v="28"/>
    <m/>
    <s v="Inscrito Nuevo"/>
    <m/>
    <m/>
    <m/>
    <m/>
    <d v="2025-02-19T00:00:00"/>
    <d v="2025-05-05T00:00:00"/>
    <s v="Marta Meza"/>
    <s v="Marta Meza"/>
    <s v="P"/>
    <s v="F"/>
    <s v="P"/>
    <s v="F"/>
    <s v="F"/>
    <m/>
    <m/>
    <m/>
    <m/>
    <m/>
    <m/>
    <m/>
    <m/>
    <m/>
    <m/>
    <m/>
    <m/>
    <s v="Asistió"/>
    <m/>
    <m/>
    <m/>
    <m/>
    <m/>
    <m/>
    <m/>
    <d v="2025-07-31T00:00:00"/>
    <m/>
    <d v="2025-08-31T00:00:00"/>
    <m/>
    <m/>
    <s v="Contacto Personal"/>
    <s v="PFP"/>
    <s v="Huancayo - El Tambo-Febrero-Miércoles-7:00-9:00p.m.-45693"/>
    <s v="Oratoria y Filosofía"/>
    <s v="Huancayo - El Tambo-Febrero-Miércoles-7:00 - 9:00 p. m.-45693-Inscrito Nuevo"/>
    <b v="0"/>
    <d v="2025-02-26T00:00:00"/>
    <s v="ALTA"/>
    <s v="01/01/1900"/>
  </r>
  <r>
    <s v="Oratoria y Filosofía"/>
    <s v="Febrero"/>
    <s v="Miércoles"/>
    <x v="1"/>
    <x v="1"/>
    <m/>
    <s v="72749766"/>
    <s v="Claudia Giomara"/>
    <s v="Castro Artica"/>
    <n v="901587065"/>
    <s v="giomi_2002@outlook.com"/>
    <d v="2002-01-09T00:00:00"/>
    <n v="23"/>
    <m/>
    <s v="Inscrito Nuevo"/>
    <m/>
    <m/>
    <m/>
    <m/>
    <d v="2025-02-19T00:00:00"/>
    <d v="2025-05-05T00:00:00"/>
    <s v="Marta Meza"/>
    <s v="Marta Meza"/>
    <s v="N"/>
    <s v="P"/>
    <s v="P"/>
    <s v="F"/>
    <s v="F"/>
    <m/>
    <m/>
    <m/>
    <m/>
    <m/>
    <m/>
    <m/>
    <m/>
    <m/>
    <m/>
    <m/>
    <m/>
    <s v="Asistió"/>
    <m/>
    <m/>
    <m/>
    <m/>
    <m/>
    <m/>
    <m/>
    <d v="2025-07-31T00:00:00"/>
    <m/>
    <d v="2025-08-31T00:00:00"/>
    <m/>
    <m/>
    <s v="Redes sociales"/>
    <s v="NPP"/>
    <s v="Huancayo - El Tambo-Febrero-Miércoles-7:00-9:00p.m.-45693"/>
    <s v="Oratoria y Filosofía"/>
    <s v="Huancayo - El Tambo-Febrero-Miércoles-7:00 - 9:00 p. m.-45693-Inscrito Nuevo"/>
    <b v="0"/>
    <d v="2025-02-26T00:00:00"/>
    <s v="ALTA"/>
    <s v="01/01/1900"/>
  </r>
  <r>
    <s v="Oratoria y Filosofía"/>
    <s v="Febrero"/>
    <s v="Miércoles"/>
    <x v="1"/>
    <x v="1"/>
    <m/>
    <s v="72519662"/>
    <s v="Marycielo"/>
    <s v="Espinoza Villagaray"/>
    <n v="926575437"/>
    <s v="e07.mary11@gmail.com"/>
    <d v="2004-10-07T00:00:00"/>
    <n v="20"/>
    <m/>
    <s v="Inscrito Nuevo"/>
    <m/>
    <m/>
    <m/>
    <m/>
    <d v="2025-02-19T00:00:00"/>
    <d v="2025-05-05T00:00:00"/>
    <s v="Marta Meza"/>
    <s v="Marta Meza"/>
    <s v="N"/>
    <s v="P"/>
    <s v="P"/>
    <s v="P"/>
    <s v="F"/>
    <m/>
    <m/>
    <m/>
    <m/>
    <m/>
    <m/>
    <m/>
    <m/>
    <m/>
    <m/>
    <m/>
    <m/>
    <s v="Asistió"/>
    <m/>
    <m/>
    <m/>
    <m/>
    <m/>
    <m/>
    <m/>
    <d v="2025-07-31T00:00:00"/>
    <m/>
    <d v="2025-08-31T00:00:00"/>
    <m/>
    <m/>
    <s v="Redes sociales"/>
    <s v="NPP"/>
    <s v="Huancayo - El Tambo-Febrero-Miércoles-7:00-9:00p.m.-45693"/>
    <s v="Oratoria y Filosofía"/>
    <s v="Huancayo - El Tambo-Febrero-Miércoles-7:00 - 9:00 p. m.-45693-Inscrito Nuevo"/>
    <b v="0"/>
    <d v="2025-02-26T00:00:00"/>
    <s v="ALTA"/>
    <s v="01/01/1900"/>
  </r>
  <r>
    <s v="Oratoria y Filosofía"/>
    <s v="Febrero"/>
    <s v="Miércoles"/>
    <x v="1"/>
    <x v="1"/>
    <m/>
    <s v="72254948"/>
    <s v="Rocio Milagros"/>
    <s v="Pomahuali Gilvonio"/>
    <n v="901611944"/>
    <s v="rociomilagrospomahualigilvonio@gmail.com"/>
    <d v="2002-10-23T00:00:00"/>
    <n v="22"/>
    <m/>
    <s v="Cambio de horario"/>
    <d v="2025-02-26T00:00:00"/>
    <m/>
    <m/>
    <m/>
    <d v="2025-02-19T00:00:00"/>
    <d v="2025-05-05T00:00:00"/>
    <s v="Marta Meza"/>
    <s v="Marta Meza"/>
    <s v="N"/>
    <s v="N"/>
    <s v="N"/>
    <s v="P"/>
    <s v="P"/>
    <m/>
    <m/>
    <m/>
    <m/>
    <m/>
    <m/>
    <m/>
    <m/>
    <m/>
    <m/>
    <m/>
    <m/>
    <s v="No Asistió"/>
    <m/>
    <m/>
    <m/>
    <m/>
    <m/>
    <m/>
    <m/>
    <d v="2025-07-31T00:00:00"/>
    <m/>
    <d v="2025-08-31T00:00:00"/>
    <m/>
    <m/>
    <s v="Contacto Personal"/>
    <s v="NNN"/>
    <s v="Huancayo - El Tambo-Febrero-Miércoles-7:00-9:00p.m.-45693"/>
    <s v="Oratoria y Filosofía"/>
    <s v="Huancayo - El Tambo-Febrero-Miércoles-7:00 - 9:00 p. m.-45693-Cambio de horario"/>
    <b v="0"/>
    <d v="2025-02-26T00:00:00"/>
    <s v="ALTA"/>
    <s v="01/01/1900"/>
  </r>
  <r>
    <s v="Oratoria y Filosofía"/>
    <s v="Febrero"/>
    <s v="Miércoles"/>
    <x v="1"/>
    <x v="1"/>
    <m/>
    <s v="61713017"/>
    <s v="Matheo Alessandro"/>
    <s v="Galindo Bravo"/>
    <n v="996689953"/>
    <s v="mathegalindo@gmail.com"/>
    <d v="2009-12-10T00:00:00"/>
    <n v="15"/>
    <m/>
    <s v="Cambio de horario"/>
    <d v="2025-03-05T00:00:00"/>
    <s v="Enero"/>
    <s v="Lunes"/>
    <s v="7:00 - 9:00pm"/>
    <d v="2025-02-19T00:00:00"/>
    <d v="2025-05-05T00:00:00"/>
    <s v="Marta Meza"/>
    <s v="Marta Meza"/>
    <s v="N"/>
    <s v="N"/>
    <s v="N"/>
    <s v="N"/>
    <s v="F"/>
    <m/>
    <m/>
    <m/>
    <m/>
    <m/>
    <m/>
    <m/>
    <m/>
    <m/>
    <m/>
    <m/>
    <m/>
    <s v="No Asistió"/>
    <m/>
    <m/>
    <m/>
    <m/>
    <m/>
    <m/>
    <m/>
    <d v="2025-07-31T00:00:00"/>
    <m/>
    <d v="2025-08-31T00:00:00"/>
    <m/>
    <m/>
    <s v="Contacto Personal"/>
    <s v="NNN"/>
    <s v="Huancayo - El Tambo-Febrero-Miércoles-7:00-9:00p.m.-45693"/>
    <s v="Oratoria y Filosofía"/>
    <s v="Huancayo - El Tambo-Febrero-Miércoles-7:00 - 9:00 p. m.-45693-Cambio de horario"/>
    <b v="0"/>
    <s v="01/01/1900"/>
    <s v="No asistió 1er mes"/>
    <s v="01/01/1900"/>
  </r>
  <r>
    <s v="Oratoria y Filosofía"/>
    <s v="Marzo"/>
    <s v="Miércoles"/>
    <x v="1"/>
    <x v="2"/>
    <m/>
    <s v="76040728"/>
    <s v="Yerson Danny"/>
    <s v="Monago Colqui"/>
    <n v="961470326"/>
    <s v="colquidanny425@gmail.com"/>
    <d v="1995-12-12T00:00:00"/>
    <n v="29"/>
    <m/>
    <s v="Inscrito Nuevo"/>
    <m/>
    <m/>
    <m/>
    <m/>
    <d v="2025-03-19T00:00:00"/>
    <d v="2025-06-05T00:00:00"/>
    <s v="Angie Lopez"/>
    <s v="Angie Lopez"/>
    <s v="P"/>
    <m/>
    <m/>
    <m/>
    <m/>
    <m/>
    <m/>
    <m/>
    <m/>
    <m/>
    <m/>
    <m/>
    <m/>
    <m/>
    <m/>
    <m/>
    <m/>
    <s v="Completar hasta 3ra sem. para evaluar a Probacionista"/>
    <m/>
    <m/>
    <m/>
    <m/>
    <m/>
    <m/>
    <m/>
    <d v="2025-08-31T00:00:00"/>
    <m/>
    <d v="2025-09-30T00:00:00"/>
    <m/>
    <m/>
    <s v="Redes sociales"/>
    <s v="P"/>
    <s v="Huancayo - El Tambo-Marzo-Miércoles-7:00-9:00p.m.-45721"/>
    <s v="Oratoria y Filosofía"/>
    <s v="Huancayo - El Tambo-Marzo-Miércoles-7:00 - 9:00 p. m.-45721-Inscrito Nuevo"/>
    <b v="0"/>
    <d v="2025-03-26T00:00:00"/>
    <s v="ALTA"/>
    <s v="01/01/1900"/>
  </r>
  <r>
    <s v="Oratoria y Filosofía"/>
    <s v="Marzo"/>
    <s v="Miércoles"/>
    <x v="1"/>
    <x v="2"/>
    <m/>
    <s v="61444774"/>
    <s v="Allison Gisel"/>
    <s v="Nuñez Martinez"/>
    <n v="938319277"/>
    <s v="allisongiselxd@gmail.com"/>
    <d v="2008-08-05T00:00:00"/>
    <n v="16"/>
    <m/>
    <s v="Inscrito Nuevo"/>
    <m/>
    <m/>
    <m/>
    <m/>
    <d v="2025-03-19T00:00:00"/>
    <d v="2025-06-05T00:00:00"/>
    <s v="Angie Lopez"/>
    <s v="Angie Lopez"/>
    <s v="P"/>
    <m/>
    <m/>
    <m/>
    <m/>
    <m/>
    <m/>
    <m/>
    <m/>
    <m/>
    <m/>
    <m/>
    <m/>
    <m/>
    <m/>
    <m/>
    <m/>
    <s v="Completar hasta 3ra sem. para evaluar a Probacionista"/>
    <m/>
    <m/>
    <m/>
    <m/>
    <m/>
    <m/>
    <m/>
    <d v="2025-08-31T00:00:00"/>
    <m/>
    <d v="2025-09-30T00:00:00"/>
    <m/>
    <m/>
    <s v="Redes sociales"/>
    <s v="P"/>
    <s v="Huancayo - El Tambo-Marzo-Miércoles-7:00-9:00p.m.-45721"/>
    <s v="Oratoria y Filosofía"/>
    <s v="Huancayo - El Tambo-Marzo-Miércoles-7:00 - 9:00 p. m.-45721-Inscrito Nuevo"/>
    <b v="0"/>
    <d v="2025-03-26T00:00:00"/>
    <s v="ALTA"/>
    <s v="01/01/1900"/>
  </r>
  <r>
    <s v="Oratoria y Filosofía"/>
    <s v="Marzo"/>
    <s v="Miércoles"/>
    <x v="1"/>
    <x v="2"/>
    <m/>
    <s v="61131451"/>
    <s v="Keila Anny"/>
    <s v="De la Cruz Gonzales"/>
    <n v="963280613"/>
    <s v="annykeiladg@gmail.com"/>
    <d v="2007-07-26T00:00:00"/>
    <n v="17"/>
    <m/>
    <s v="Inscrito Nuevo"/>
    <m/>
    <m/>
    <m/>
    <m/>
    <d v="2025-03-19T00:00:00"/>
    <d v="2025-06-05T00:00:00"/>
    <s v="Angie Lopez"/>
    <s v="Angie Lopez"/>
    <s v="P"/>
    <m/>
    <m/>
    <m/>
    <m/>
    <m/>
    <m/>
    <m/>
    <m/>
    <m/>
    <m/>
    <m/>
    <m/>
    <m/>
    <m/>
    <m/>
    <m/>
    <s v="Completar hasta 3ra sem. para evaluar a Probacionista"/>
    <m/>
    <m/>
    <m/>
    <m/>
    <m/>
    <m/>
    <m/>
    <d v="2025-08-31T00:00:00"/>
    <m/>
    <d v="2025-09-30T00:00:00"/>
    <m/>
    <m/>
    <s v="Redes sociales"/>
    <s v="P"/>
    <s v="Huancayo - El Tambo-Marzo-Miércoles-7:00-9:00p.m.-45721"/>
    <s v="Oratoria y Filosofía"/>
    <s v="Huancayo - El Tambo-Marzo-Miércoles-7:00 - 9:00 p. m.-45721-Inscrito Nuevo"/>
    <b v="0"/>
    <d v="2025-03-26T00:00:00"/>
    <s v="ALTA"/>
    <s v="01/01/1900"/>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60002684"/>
    <s v="Avigail Yunmi"/>
    <s v="Valer Valladares"/>
    <n v="915067447"/>
    <s v="avigailyum@gmail.com"/>
    <d v="2006-09-20T00:00:00"/>
    <n v="18"/>
    <s v="Amon I"/>
    <x v="0"/>
    <m/>
    <m/>
    <m/>
    <m/>
    <d v="2025-01-27T00:00:00"/>
    <d v="2025-04-13T00:00:00"/>
    <x v="0"/>
    <x v="0"/>
    <s v="P"/>
    <s v="P"/>
    <s v="P"/>
    <s v="P"/>
    <s v="F"/>
    <s v="P"/>
    <s v="P"/>
    <s v="P"/>
    <s v="P"/>
    <m/>
    <m/>
    <m/>
    <m/>
    <m/>
    <m/>
    <m/>
    <m/>
    <s v="Asistió"/>
    <m/>
    <m/>
    <m/>
    <m/>
    <m/>
    <m/>
    <m/>
    <d v="2025-06-30T00:00:00"/>
    <m/>
    <d v="2025-07-31T00:00:00"/>
    <m/>
    <m/>
    <s v="Contacto Personal"/>
    <s v="PPP"/>
    <s v="Huancayo - El Tambo-Enero-Lunes-5:00-7:00p.m.-45670"/>
    <s v="Oratoria y Filosofía"/>
    <x v="0"/>
    <x v="0"/>
  </r>
  <r>
    <x v="0"/>
    <x v="0"/>
    <x v="0"/>
    <x v="0"/>
    <x v="0"/>
    <m/>
    <s v="60891378"/>
    <s v="Claudia Estefany"/>
    <s v="Quispe Chirinos"/>
    <n v="980650401"/>
    <s v="moonc0256@gmail.com"/>
    <d v="2007-01-06T00:00:00"/>
    <n v="18"/>
    <s v="Amon I"/>
    <x v="0"/>
    <m/>
    <m/>
    <m/>
    <m/>
    <d v="2025-01-27T00:00:00"/>
    <d v="2025-04-13T00:00:00"/>
    <x v="0"/>
    <x v="0"/>
    <s v="P"/>
    <s v="P"/>
    <s v="P"/>
    <s v="P"/>
    <s v="F"/>
    <s v="P"/>
    <s v="P"/>
    <s v="P"/>
    <s v="P"/>
    <m/>
    <m/>
    <m/>
    <m/>
    <m/>
    <m/>
    <m/>
    <m/>
    <s v="Asistió"/>
    <m/>
    <m/>
    <m/>
    <m/>
    <m/>
    <m/>
    <m/>
    <d v="2025-06-30T00:00:00"/>
    <m/>
    <d v="2025-07-31T00:00:00"/>
    <m/>
    <m/>
    <s v="Contacto Personal"/>
    <s v="PPP"/>
    <s v="Huancayo - El Tambo-Enero-Lunes-5:00-7:00p.m.-45670"/>
    <s v="Oratoria y Filosofía"/>
    <x v="0"/>
    <x v="0"/>
  </r>
  <r>
    <x v="0"/>
    <x v="0"/>
    <x v="0"/>
    <x v="0"/>
    <x v="0"/>
    <m/>
    <s v="60750889"/>
    <s v="Gerardo Kristian"/>
    <s v="Guerra Obispo"/>
    <n v="940864298"/>
    <s v="gerard12222@gmail.com"/>
    <d v="2006-06-03T00:00:00"/>
    <n v="18"/>
    <s v="Amon I"/>
    <x v="0"/>
    <m/>
    <m/>
    <m/>
    <m/>
    <d v="2025-01-27T00:00:00"/>
    <d v="2025-04-13T00:00:00"/>
    <x v="0"/>
    <x v="0"/>
    <s v="P"/>
    <s v="P"/>
    <s v="P"/>
    <s v="P"/>
    <s v="F"/>
    <s v="P"/>
    <s v="P"/>
    <s v="P"/>
    <s v="P"/>
    <m/>
    <m/>
    <m/>
    <m/>
    <m/>
    <m/>
    <m/>
    <m/>
    <s v="Asistió"/>
    <m/>
    <m/>
    <m/>
    <m/>
    <m/>
    <m/>
    <m/>
    <d v="2025-06-30T00:00:00"/>
    <m/>
    <d v="2025-07-31T00:00:00"/>
    <m/>
    <m/>
    <s v="Contacto Personal"/>
    <s v="PPP"/>
    <s v="Huancayo - El Tambo-Enero-Lunes-5:00-7:00p.m.-45670"/>
    <s v="Oratoria y Filosofía"/>
    <x v="0"/>
    <x v="0"/>
  </r>
  <r>
    <x v="0"/>
    <x v="0"/>
    <x v="0"/>
    <x v="0"/>
    <x v="0"/>
    <m/>
    <s v="75564433"/>
    <s v="Anahi Scarlet"/>
    <s v="Martinez Hayqui"/>
    <n v="954818221"/>
    <s v="anahimartinezhayqui64@gmail.com"/>
    <d v="2006-03-13T00:00:00"/>
    <n v="18"/>
    <s v="Amon I"/>
    <x v="0"/>
    <m/>
    <m/>
    <m/>
    <m/>
    <d v="2025-01-27T00:00:00"/>
    <d v="2025-04-13T00:00:00"/>
    <x v="0"/>
    <x v="0"/>
    <s v="P"/>
    <s v="P"/>
    <s v="P"/>
    <s v="P"/>
    <s v="P"/>
    <s v="P"/>
    <s v="F"/>
    <s v="P"/>
    <s v="F"/>
    <m/>
    <m/>
    <m/>
    <m/>
    <m/>
    <m/>
    <m/>
    <m/>
    <s v="Asistió"/>
    <m/>
    <m/>
    <m/>
    <m/>
    <m/>
    <m/>
    <m/>
    <d v="2025-06-30T00:00:00"/>
    <m/>
    <d v="2025-07-31T00:00:00"/>
    <m/>
    <m/>
    <s v="Redes sociales"/>
    <s v="PPP"/>
    <s v="Huancayo - El Tambo-Enero-Lunes-5:00-7:00p.m.-45670"/>
    <s v="Oratoria y Filosofía"/>
    <x v="0"/>
    <x v="0"/>
  </r>
  <r>
    <x v="0"/>
    <x v="0"/>
    <x v="0"/>
    <x v="0"/>
    <x v="0"/>
    <m/>
    <s v="60891342"/>
    <s v="Andrea Angely"/>
    <s v="Quijada Torres"/>
    <n v="971464096"/>
    <s v="andreapuerta404@gmail.com"/>
    <d v="2006-12-22T00:00:00"/>
    <n v="18"/>
    <s v="Amon I"/>
    <x v="0"/>
    <m/>
    <m/>
    <m/>
    <m/>
    <d v="2025-01-27T00:00:00"/>
    <d v="2025-04-13T00:00:00"/>
    <x v="0"/>
    <x v="0"/>
    <s v="P"/>
    <s v="P"/>
    <s v="P"/>
    <s v="P"/>
    <s v="P"/>
    <s v="P"/>
    <s v="F"/>
    <s v="P"/>
    <s v="P"/>
    <m/>
    <m/>
    <m/>
    <m/>
    <m/>
    <m/>
    <m/>
    <m/>
    <s v="Asistió"/>
    <m/>
    <m/>
    <m/>
    <m/>
    <m/>
    <m/>
    <m/>
    <d v="2025-06-30T00:00:00"/>
    <m/>
    <d v="2025-07-31T00:00:00"/>
    <m/>
    <m/>
    <s v="Web"/>
    <s v="PPP"/>
    <s v="Huancayo - El Tambo-Enero-Lunes-5:00-7:00p.m.-45670"/>
    <s v="Oratoria y Filosofía"/>
    <x v="0"/>
    <x v="0"/>
  </r>
  <r>
    <x v="0"/>
    <x v="0"/>
    <x v="0"/>
    <x v="0"/>
    <x v="0"/>
    <m/>
    <s v="70343194"/>
    <s v="Lizeth Angela"/>
    <s v="Nuñez Macha"/>
    <n v="972074116"/>
    <s v="lizeth.numa27@gmail.com"/>
    <d v="1994-03-27T00:00:00"/>
    <n v="30"/>
    <s v="Amon I"/>
    <x v="0"/>
    <m/>
    <m/>
    <m/>
    <m/>
    <d v="2025-01-27T00:00:00"/>
    <d v="2025-04-13T00:00:00"/>
    <x v="0"/>
    <x v="0"/>
    <s v="P"/>
    <s v="P"/>
    <s v="P"/>
    <s v="P"/>
    <s v="P"/>
    <s v="F"/>
    <s v="P"/>
    <s v="P"/>
    <s v="P"/>
    <m/>
    <m/>
    <m/>
    <m/>
    <m/>
    <m/>
    <m/>
    <m/>
    <s v="Asistió"/>
    <m/>
    <m/>
    <m/>
    <m/>
    <m/>
    <m/>
    <m/>
    <d v="2025-06-30T00:00:00"/>
    <m/>
    <d v="2025-07-31T00:00:00"/>
    <m/>
    <m/>
    <s v="Contacto Personal"/>
    <s v="PPP"/>
    <s v="Huancayo - El Tambo-Enero-Lunes-5:00-7:00p.m.-45670"/>
    <s v="Oratoria y Filosofía"/>
    <x v="0"/>
    <x v="0"/>
  </r>
  <r>
    <x v="0"/>
    <x v="0"/>
    <x v="0"/>
    <x v="0"/>
    <x v="0"/>
    <m/>
    <s v="61203586"/>
    <s v="Michael Leonardo"/>
    <s v="Monroy Espíritu"/>
    <n v="954077635"/>
    <s v="leomonroyespiritu30@gmail.com"/>
    <d v="2007-09-30T00:00:00"/>
    <n v="17"/>
    <s v="Amon I"/>
    <x v="0"/>
    <m/>
    <m/>
    <m/>
    <m/>
    <d v="2025-01-27T00:00:00"/>
    <d v="2025-04-13T00:00:00"/>
    <x v="0"/>
    <x v="0"/>
    <s v="P"/>
    <s v="P"/>
    <s v="P"/>
    <s v="P"/>
    <s v="F"/>
    <s v="P"/>
    <s v="P"/>
    <s v="F"/>
    <s v="F"/>
    <m/>
    <m/>
    <m/>
    <m/>
    <m/>
    <m/>
    <m/>
    <m/>
    <s v="Asistió"/>
    <m/>
    <m/>
    <m/>
    <m/>
    <m/>
    <m/>
    <m/>
    <d v="2025-06-30T00:00:00"/>
    <m/>
    <d v="2025-07-31T00:00:00"/>
    <m/>
    <m/>
    <s v="Redes sociales"/>
    <s v="PPP"/>
    <s v="Huancayo - El Tambo-Enero-Lunes-5:00-7:00p.m.-45670"/>
    <s v="Oratoria y Filosofía"/>
    <x v="0"/>
    <x v="0"/>
  </r>
  <r>
    <x v="0"/>
    <x v="0"/>
    <x v="0"/>
    <x v="0"/>
    <x v="0"/>
    <m/>
    <s v="73198434"/>
    <s v="Fabiola"/>
    <s v="Soriano Gamonal"/>
    <n v="952047053"/>
    <s v="fasoriano23@gmail.com"/>
    <d v="2002-02-23T00:00:00"/>
    <n v="23"/>
    <s v="Amon I"/>
    <x v="0"/>
    <m/>
    <m/>
    <m/>
    <m/>
    <d v="2025-01-27T00:00:00"/>
    <d v="2025-04-13T00:00:00"/>
    <x v="0"/>
    <x v="0"/>
    <s v="P"/>
    <s v="F"/>
    <s v="F"/>
    <s v="F"/>
    <s v="F"/>
    <s v="F"/>
    <s v="F"/>
    <s v="F"/>
    <s v="F"/>
    <m/>
    <m/>
    <m/>
    <m/>
    <m/>
    <m/>
    <m/>
    <m/>
    <s v="No Asistió"/>
    <m/>
    <m/>
    <m/>
    <m/>
    <m/>
    <m/>
    <m/>
    <d v="2025-06-30T00:00:00"/>
    <m/>
    <d v="2025-07-31T00:00:00"/>
    <m/>
    <m/>
    <s v="Contacto Personal"/>
    <s v="PFF"/>
    <s v="Huancayo - El Tambo-Enero-Lunes-5:00-7:00p.m.-45670"/>
    <s v="Oratoria y Filosofía"/>
    <x v="0"/>
    <x v="0"/>
  </r>
  <r>
    <x v="0"/>
    <x v="0"/>
    <x v="0"/>
    <x v="0"/>
    <x v="0"/>
    <m/>
    <s v="71449227"/>
    <s v="Luiggi"/>
    <s v="Baldeón Morales"/>
    <n v="933048288"/>
    <s v="luiggiklk123@gmail.com"/>
    <d v="1997-12-13T00:00:00"/>
    <n v="27"/>
    <s v="Amon I"/>
    <x v="0"/>
    <m/>
    <m/>
    <m/>
    <m/>
    <d v="2025-01-27T00:00:00"/>
    <d v="2025-04-13T00:00:00"/>
    <x v="0"/>
    <x v="0"/>
    <s v="N"/>
    <s v="P"/>
    <s v="P"/>
    <s v="F"/>
    <s v="P"/>
    <s v="P"/>
    <s v="P"/>
    <s v="P"/>
    <s v="F"/>
    <m/>
    <m/>
    <m/>
    <m/>
    <m/>
    <m/>
    <m/>
    <m/>
    <s v="Asistió"/>
    <m/>
    <m/>
    <m/>
    <m/>
    <m/>
    <m/>
    <m/>
    <d v="2025-06-30T00:00:00"/>
    <m/>
    <d v="2025-07-31T00:00:00"/>
    <m/>
    <m/>
    <s v="Propag.Impresa"/>
    <s v="NPP"/>
    <s v="Huancayo - El Tambo-Enero-Lunes-5:00-7:00p.m.-45670"/>
    <s v="Oratoria y Filosofía"/>
    <x v="0"/>
    <x v="0"/>
  </r>
  <r>
    <x v="0"/>
    <x v="0"/>
    <x v="0"/>
    <x v="0"/>
    <x v="0"/>
    <m/>
    <s v="60418860"/>
    <s v="Mireya Lizeth"/>
    <s v="Barrientos de la Cruz"/>
    <n v="924192729"/>
    <s v="mireyadelacruz53@gmail.com"/>
    <d v="2006-02-26T00:00:00"/>
    <n v="19"/>
    <s v="Amon I"/>
    <x v="0"/>
    <m/>
    <m/>
    <m/>
    <m/>
    <d v="2025-01-27T00:00:00"/>
    <d v="2025-04-13T00:00:00"/>
    <x v="0"/>
    <x v="0"/>
    <s v="N"/>
    <s v="P"/>
    <s v="P"/>
    <s v="P"/>
    <s v="P"/>
    <s v="P"/>
    <s v="F"/>
    <s v="P"/>
    <s v="P"/>
    <m/>
    <m/>
    <m/>
    <m/>
    <m/>
    <m/>
    <m/>
    <m/>
    <s v="Asistió"/>
    <m/>
    <m/>
    <m/>
    <m/>
    <m/>
    <m/>
    <m/>
    <d v="2025-06-30T00:00:00"/>
    <m/>
    <d v="2025-07-31T00:00:00"/>
    <m/>
    <m/>
    <s v="Contacto Personal"/>
    <s v="NPP"/>
    <s v="Huancayo - El Tambo-Enero-Lunes-5:00-7:00p.m.-45670"/>
    <s v="Oratoria y Filosofía"/>
    <x v="0"/>
    <x v="0"/>
  </r>
  <r>
    <x v="0"/>
    <x v="0"/>
    <x v="0"/>
    <x v="0"/>
    <x v="0"/>
    <m/>
    <s v="71231659"/>
    <s v="Marianella "/>
    <s v="Gutierrez Pillpe"/>
    <n v="976634806"/>
    <s v="marianella.gp11@gmail.com"/>
    <d v="1999-02-11T00:00:00"/>
    <n v="26"/>
    <s v="Amon I"/>
    <x v="0"/>
    <m/>
    <m/>
    <m/>
    <m/>
    <d v="2025-01-27T00:00:00"/>
    <d v="2025-04-13T00:00:00"/>
    <x v="0"/>
    <x v="0"/>
    <s v="F"/>
    <s v="F"/>
    <s v="P"/>
    <s v="F"/>
    <s v="F"/>
    <s v="F"/>
    <s v="F"/>
    <s v="F"/>
    <s v="F"/>
    <m/>
    <m/>
    <m/>
    <m/>
    <m/>
    <m/>
    <m/>
    <m/>
    <s v="Asistió"/>
    <m/>
    <m/>
    <m/>
    <m/>
    <m/>
    <m/>
    <m/>
    <d v="2025-06-30T00:00:00"/>
    <m/>
    <d v="2025-07-31T00:00:00"/>
    <m/>
    <m/>
    <s v="Contacto Personal"/>
    <s v="FFP"/>
    <s v="Huancayo - El Tambo-Enero-Lunes-5:00-7:00p.m.-45670"/>
    <s v="Oratoria y Filosofía"/>
    <x v="0"/>
    <x v="0"/>
  </r>
  <r>
    <x v="0"/>
    <x v="0"/>
    <x v="0"/>
    <x v="1"/>
    <x v="0"/>
    <m/>
    <s v="72254948"/>
    <s v="Rocio Milagros"/>
    <s v="Pomahuali Gilvonio"/>
    <n v="901611944"/>
    <s v="rociomilagrospomahualigilvonio@gmail.com"/>
    <d v="2002-10-23T00:00:00"/>
    <n v="22"/>
    <s v="Amon I"/>
    <x v="1"/>
    <d v="2025-01-13T00:00:00"/>
    <s v="Mayo 2024, Sede San Carlos"/>
    <s v="Sábados"/>
    <s v="3:30 - 5:30pm"/>
    <d v="2025-01-27T00:00:00"/>
    <d v="2025-04-13T00:00:00"/>
    <x v="1"/>
    <x v="1"/>
    <s v="P"/>
    <s v="P"/>
    <s v="P"/>
    <s v="P"/>
    <s v="F"/>
    <s v="F"/>
    <s v="CH"/>
    <s v="CH"/>
    <s v="CH"/>
    <m/>
    <m/>
    <m/>
    <m/>
    <m/>
    <m/>
    <m/>
    <m/>
    <s v="Asistió"/>
    <m/>
    <m/>
    <m/>
    <m/>
    <m/>
    <m/>
    <m/>
    <d v="2025-06-30T00:00:00"/>
    <m/>
    <d v="2025-07-31T00:00:00"/>
    <m/>
    <m/>
    <s v="Contacto Personal"/>
    <s v="PPP"/>
    <s v="Huancayo - El Tambo-Enero-Lunes-7:00-9:00p.m.-45670"/>
    <s v="Oratoria y Filosofía"/>
    <x v="1"/>
    <x v="0"/>
  </r>
  <r>
    <x v="0"/>
    <x v="0"/>
    <x v="0"/>
    <x v="1"/>
    <x v="0"/>
    <m/>
    <s v="61713017"/>
    <s v="Matheo Alessandro"/>
    <s v="Galindo Bravo"/>
    <n v="996689953"/>
    <s v="mathegalindo@gmail.com"/>
    <d v="2009-12-10T00:00:00"/>
    <n v="15"/>
    <s v="Amon I"/>
    <x v="0"/>
    <m/>
    <m/>
    <m/>
    <m/>
    <d v="2025-01-27T00:00:00"/>
    <d v="2025-04-13T00:00:00"/>
    <x v="1"/>
    <x v="1"/>
    <s v="P"/>
    <s v="P"/>
    <s v="P"/>
    <s v="P"/>
    <s v="F"/>
    <s v="P"/>
    <s v="P"/>
    <s v="CH"/>
    <s v="CH"/>
    <m/>
    <m/>
    <m/>
    <m/>
    <m/>
    <m/>
    <m/>
    <m/>
    <s v="Asistió"/>
    <m/>
    <m/>
    <m/>
    <m/>
    <m/>
    <m/>
    <m/>
    <d v="2025-06-30T00:00:00"/>
    <m/>
    <d v="2025-07-31T00:00:00"/>
    <m/>
    <m/>
    <s v="Contacto Personal"/>
    <s v="PPP"/>
    <s v="Huancayo - El Tambo-Enero-Lunes-7:00-9:00p.m.-45670"/>
    <s v="Oratoria y Filosofía"/>
    <x v="2"/>
    <x v="0"/>
  </r>
  <r>
    <x v="0"/>
    <x v="0"/>
    <x v="0"/>
    <x v="1"/>
    <x v="0"/>
    <m/>
    <s v="77920478"/>
    <s v="Valeria Silvana"/>
    <s v="Ozco Ortiz"/>
    <n v="962427790"/>
    <m/>
    <m/>
    <s v=""/>
    <s v="Amon I"/>
    <x v="0"/>
    <m/>
    <m/>
    <m/>
    <m/>
    <d v="2025-01-27T00:00:00"/>
    <d v="2025-04-13T00:00:00"/>
    <x v="1"/>
    <x v="1"/>
    <s v="P"/>
    <s v="P"/>
    <s v="P"/>
    <s v="P"/>
    <s v="CH"/>
    <s v="CH"/>
    <s v="CH"/>
    <s v="CH"/>
    <s v="CH"/>
    <m/>
    <m/>
    <m/>
    <m/>
    <m/>
    <m/>
    <m/>
    <m/>
    <s v="Asistió"/>
    <m/>
    <m/>
    <m/>
    <m/>
    <m/>
    <m/>
    <m/>
    <d v="2025-06-30T00:00:00"/>
    <m/>
    <d v="2025-07-31T00:00:00"/>
    <m/>
    <m/>
    <s v="Redes sociales"/>
    <s v="PPP"/>
    <s v="Huancayo - El Tambo-Enero-Lunes-7:00-9:00p.m.-45670"/>
    <s v="Oratoria y Filosofía"/>
    <x v="2"/>
    <x v="0"/>
  </r>
  <r>
    <x v="0"/>
    <x v="0"/>
    <x v="0"/>
    <x v="1"/>
    <x v="0"/>
    <m/>
    <s v="44017124"/>
    <s v="Elizabeth Susana"/>
    <s v="Yance Sedano"/>
    <n v="999555171"/>
    <s v="yancesedanoelizabeth@gmail.com"/>
    <d v="1985-01-28T00:00:00"/>
    <n v="40"/>
    <s v="Amon I"/>
    <x v="1"/>
    <d v="2025-01-20T00:00:00"/>
    <s v="Julio 2024"/>
    <s v="Lunes"/>
    <s v="7:00 - 9:00pm"/>
    <d v="2025-01-27T00:00:00"/>
    <d v="2025-04-13T00:00:00"/>
    <x v="1"/>
    <x v="1"/>
    <s v="N"/>
    <s v="F"/>
    <s v="P"/>
    <s v="P"/>
    <s v="P"/>
    <s v="P"/>
    <s v="P"/>
    <s v="P"/>
    <s v="F"/>
    <m/>
    <m/>
    <m/>
    <m/>
    <m/>
    <m/>
    <m/>
    <m/>
    <s v="Asistió"/>
    <m/>
    <m/>
    <m/>
    <m/>
    <m/>
    <m/>
    <m/>
    <d v="2025-06-30T00:00:00"/>
    <m/>
    <d v="2025-07-31T00:00:00"/>
    <m/>
    <m/>
    <s v="Contacto Personal"/>
    <s v="NFP"/>
    <s v="Huancayo - El Tambo-Enero-Lunes-7:00-9:00p.m.-45670"/>
    <s v="Oratoria y Filosofía"/>
    <x v="1"/>
    <x v="0"/>
  </r>
  <r>
    <x v="0"/>
    <x v="1"/>
    <x v="1"/>
    <x v="1"/>
    <x v="1"/>
    <m/>
    <s v="74687428"/>
    <s v="Katherine Georgina"/>
    <s v="Quillatupa Alanya"/>
    <n v="959140808"/>
    <s v="georgi.alanya1406@gmail.com"/>
    <d v="1997-11-24T00:00:00"/>
    <n v="27"/>
    <m/>
    <x v="0"/>
    <m/>
    <m/>
    <m/>
    <m/>
    <d v="2025-02-19T00:00:00"/>
    <d v="2025-05-05T00:00:00"/>
    <x v="1"/>
    <x v="1"/>
    <s v="F"/>
    <s v="P"/>
    <s v="P"/>
    <s v="P"/>
    <s v="F"/>
    <m/>
    <m/>
    <m/>
    <m/>
    <m/>
    <m/>
    <m/>
    <m/>
    <m/>
    <m/>
    <m/>
    <m/>
    <s v="Asistió"/>
    <m/>
    <m/>
    <m/>
    <m/>
    <m/>
    <m/>
    <m/>
    <d v="2025-07-31T00:00:00"/>
    <m/>
    <d v="2025-08-31T00:00:00"/>
    <m/>
    <m/>
    <s v="Contacto Personal"/>
    <s v="FPP"/>
    <s v="Huancayo - El Tambo-Febrero-Miércoles-7:00-9:00p.m.-45693"/>
    <s v="Oratoria y Filosofía"/>
    <x v="3"/>
    <x v="0"/>
  </r>
  <r>
    <x v="0"/>
    <x v="1"/>
    <x v="1"/>
    <x v="1"/>
    <x v="1"/>
    <m/>
    <s v="48329923"/>
    <s v="Alexanther Jhoel"/>
    <s v="Marchinares Berrocal"/>
    <n v="906868340"/>
    <s v="alex.acuario12@hotmail.com"/>
    <d v="1997-01-23T00:00:00"/>
    <n v="28"/>
    <m/>
    <x v="0"/>
    <m/>
    <m/>
    <m/>
    <m/>
    <d v="2025-02-19T00:00:00"/>
    <d v="2025-05-05T00:00:00"/>
    <x v="1"/>
    <x v="1"/>
    <s v="P"/>
    <s v="P"/>
    <s v="F"/>
    <s v="F"/>
    <s v="F"/>
    <m/>
    <m/>
    <m/>
    <m/>
    <m/>
    <m/>
    <m/>
    <m/>
    <m/>
    <m/>
    <m/>
    <m/>
    <s v="Asistió"/>
    <m/>
    <m/>
    <m/>
    <m/>
    <m/>
    <m/>
    <m/>
    <d v="2025-07-31T00:00:00"/>
    <m/>
    <d v="2025-08-31T00:00:00"/>
    <m/>
    <m/>
    <s v="Redes sociales"/>
    <s v="PPF"/>
    <s v="Huancayo - El Tambo-Febrero-Miércoles-7:00-9:00p.m.-45693"/>
    <s v="Oratoria y Filosofía"/>
    <x v="3"/>
    <x v="0"/>
  </r>
  <r>
    <x v="0"/>
    <x v="1"/>
    <x v="1"/>
    <x v="1"/>
    <x v="1"/>
    <m/>
    <s v="73060876"/>
    <s v="Cristian Rafael"/>
    <s v="Lopez Gomez"/>
    <n v="944925985"/>
    <s v="lpvcrlistians@gmail.com"/>
    <d v="2002-10-04T00:00:00"/>
    <n v="22"/>
    <m/>
    <x v="0"/>
    <m/>
    <m/>
    <m/>
    <m/>
    <d v="2025-02-19T00:00:00"/>
    <d v="2025-05-05T00:00:00"/>
    <x v="1"/>
    <x v="1"/>
    <s v="P"/>
    <s v="P"/>
    <s v="F"/>
    <s v="P"/>
    <s v="F"/>
    <m/>
    <m/>
    <m/>
    <m/>
    <m/>
    <m/>
    <m/>
    <m/>
    <m/>
    <m/>
    <m/>
    <m/>
    <s v="Asistió"/>
    <m/>
    <m/>
    <m/>
    <m/>
    <m/>
    <m/>
    <m/>
    <d v="2025-07-31T00:00:00"/>
    <m/>
    <d v="2025-08-31T00:00:00"/>
    <m/>
    <m/>
    <s v="Cursos"/>
    <s v="PPF"/>
    <s v="Huancayo - El Tambo-Febrero-Miércoles-7:00-9:00p.m.-45693"/>
    <s v="Oratoria y Filosofía"/>
    <x v="3"/>
    <x v="0"/>
  </r>
  <r>
    <x v="0"/>
    <x v="1"/>
    <x v="1"/>
    <x v="1"/>
    <x v="1"/>
    <m/>
    <s v="70236456"/>
    <s v="Miriam Paola"/>
    <s v="Jesus Serpa"/>
    <n v="985308182"/>
    <s v="mjesuss.ing25@gmail.com"/>
    <d v="1996-12-12T00:00:00"/>
    <n v="28"/>
    <m/>
    <x v="0"/>
    <m/>
    <m/>
    <m/>
    <m/>
    <d v="2025-02-19T00:00:00"/>
    <d v="2025-05-05T00:00:00"/>
    <x v="1"/>
    <x v="1"/>
    <s v="P"/>
    <s v="F"/>
    <s v="P"/>
    <s v="F"/>
    <s v="F"/>
    <m/>
    <m/>
    <m/>
    <m/>
    <m/>
    <m/>
    <m/>
    <m/>
    <m/>
    <m/>
    <m/>
    <m/>
    <s v="Asistió"/>
    <m/>
    <m/>
    <m/>
    <m/>
    <m/>
    <m/>
    <m/>
    <d v="2025-07-31T00:00:00"/>
    <m/>
    <d v="2025-08-31T00:00:00"/>
    <m/>
    <m/>
    <s v="Contacto Personal"/>
    <s v="PFP"/>
    <s v="Huancayo - El Tambo-Febrero-Miércoles-7:00-9:00p.m.-45693"/>
    <s v="Oratoria y Filosofía"/>
    <x v="3"/>
    <x v="0"/>
  </r>
  <r>
    <x v="0"/>
    <x v="1"/>
    <x v="1"/>
    <x v="1"/>
    <x v="1"/>
    <m/>
    <s v="72749766"/>
    <s v="Claudia Giomara"/>
    <s v="Castro Artica"/>
    <n v="901587065"/>
    <s v="giomi_2002@outlook.com"/>
    <d v="2002-01-09T00:00:00"/>
    <n v="23"/>
    <m/>
    <x v="0"/>
    <m/>
    <m/>
    <m/>
    <m/>
    <d v="2025-02-19T00:00:00"/>
    <d v="2025-05-05T00:00:00"/>
    <x v="1"/>
    <x v="1"/>
    <s v="N"/>
    <s v="P"/>
    <s v="P"/>
    <s v="F"/>
    <s v="F"/>
    <m/>
    <m/>
    <m/>
    <m/>
    <m/>
    <m/>
    <m/>
    <m/>
    <m/>
    <m/>
    <m/>
    <m/>
    <s v="Asistió"/>
    <m/>
    <m/>
    <m/>
    <m/>
    <m/>
    <m/>
    <m/>
    <d v="2025-07-31T00:00:00"/>
    <m/>
    <d v="2025-08-31T00:00:00"/>
    <m/>
    <m/>
    <s v="Redes sociales"/>
    <s v="NPP"/>
    <s v="Huancayo - El Tambo-Febrero-Miércoles-7:00-9:00p.m.-45693"/>
    <s v="Oratoria y Filosofía"/>
    <x v="3"/>
    <x v="0"/>
  </r>
  <r>
    <x v="0"/>
    <x v="1"/>
    <x v="1"/>
    <x v="1"/>
    <x v="1"/>
    <m/>
    <s v="72519662"/>
    <s v="Marycielo"/>
    <s v="Espinoza Villagaray"/>
    <n v="926575437"/>
    <s v="e07.mary11@gmail.com"/>
    <d v="2004-10-07T00:00:00"/>
    <n v="20"/>
    <m/>
    <x v="0"/>
    <m/>
    <m/>
    <m/>
    <m/>
    <d v="2025-02-19T00:00:00"/>
    <d v="2025-05-05T00:00:00"/>
    <x v="1"/>
    <x v="1"/>
    <s v="N"/>
    <s v="P"/>
    <s v="P"/>
    <s v="P"/>
    <s v="F"/>
    <m/>
    <m/>
    <m/>
    <m/>
    <m/>
    <m/>
    <m/>
    <m/>
    <m/>
    <m/>
    <m/>
    <m/>
    <s v="Asistió"/>
    <m/>
    <m/>
    <m/>
    <m/>
    <m/>
    <m/>
    <m/>
    <d v="2025-07-31T00:00:00"/>
    <m/>
    <d v="2025-08-31T00:00:00"/>
    <m/>
    <m/>
    <s v="Redes sociales"/>
    <s v="NPP"/>
    <s v="Huancayo - El Tambo-Febrero-Miércoles-7:00-9:00p.m.-45693"/>
    <s v="Oratoria y Filosofía"/>
    <x v="3"/>
    <x v="0"/>
  </r>
  <r>
    <x v="0"/>
    <x v="1"/>
    <x v="1"/>
    <x v="1"/>
    <x v="1"/>
    <m/>
    <s v="72254948"/>
    <s v="Rocio Milagros"/>
    <s v="Pomahuali Gilvonio"/>
    <n v="901611944"/>
    <s v="rociomilagrospomahualigilvonio@gmail.com"/>
    <d v="2002-10-23T00:00:00"/>
    <n v="22"/>
    <m/>
    <x v="2"/>
    <d v="2025-02-26T00:00:00"/>
    <m/>
    <m/>
    <m/>
    <d v="2025-02-19T00:00:00"/>
    <d v="2025-05-05T00:00:00"/>
    <x v="1"/>
    <x v="1"/>
    <s v="N"/>
    <s v="N"/>
    <s v="N"/>
    <s v="P"/>
    <s v="P"/>
    <m/>
    <m/>
    <m/>
    <m/>
    <m/>
    <m/>
    <m/>
    <m/>
    <m/>
    <m/>
    <m/>
    <m/>
    <s v="No Asistió"/>
    <m/>
    <m/>
    <m/>
    <m/>
    <m/>
    <m/>
    <m/>
    <d v="2025-07-31T00:00:00"/>
    <m/>
    <d v="2025-08-31T00:00:00"/>
    <m/>
    <m/>
    <s v="Contacto Personal"/>
    <s v="NNN"/>
    <s v="Huancayo - El Tambo-Febrero-Miércoles-7:00-9:00p.m.-45693"/>
    <s v="Oratoria y Filosofía"/>
    <x v="4"/>
    <x v="0"/>
  </r>
  <r>
    <x v="0"/>
    <x v="1"/>
    <x v="1"/>
    <x v="1"/>
    <x v="1"/>
    <m/>
    <s v="61713017"/>
    <s v="Matheo Alessandro"/>
    <s v="Galindo Bravo"/>
    <n v="996689953"/>
    <s v="mathegalindo@gmail.com"/>
    <d v="2009-12-10T00:00:00"/>
    <n v="15"/>
    <m/>
    <x v="2"/>
    <d v="2025-03-05T00:00:00"/>
    <s v="Enero"/>
    <s v="Lunes"/>
    <s v="7:00 - 9:00pm"/>
    <d v="2025-02-19T00:00:00"/>
    <d v="2025-05-05T00:00:00"/>
    <x v="1"/>
    <x v="1"/>
    <s v="N"/>
    <s v="N"/>
    <s v="N"/>
    <s v="N"/>
    <s v="F"/>
    <m/>
    <m/>
    <m/>
    <m/>
    <m/>
    <m/>
    <m/>
    <m/>
    <m/>
    <m/>
    <m/>
    <m/>
    <s v="No Asistió"/>
    <m/>
    <m/>
    <m/>
    <m/>
    <m/>
    <m/>
    <m/>
    <d v="2025-07-31T00:00:00"/>
    <m/>
    <d v="2025-08-31T00:00:00"/>
    <m/>
    <m/>
    <s v="Contacto Personal"/>
    <s v="NNN"/>
    <s v="Huancayo - El Tambo-Febrero-Miércoles-7:00-9:00p.m.-45693"/>
    <s v="Oratoria y Filosofía"/>
    <x v="4"/>
    <x v="0"/>
  </r>
  <r>
    <x v="0"/>
    <x v="2"/>
    <x v="1"/>
    <x v="1"/>
    <x v="2"/>
    <m/>
    <s v="76040728"/>
    <s v="Yerson Danny"/>
    <s v="Monago Colqui"/>
    <n v="961470326"/>
    <s v="colquidanny425@gmail.com"/>
    <d v="1995-12-12T00:00:00"/>
    <n v="29"/>
    <m/>
    <x v="0"/>
    <m/>
    <m/>
    <m/>
    <m/>
    <d v="2025-03-19T00:00:00"/>
    <d v="2025-06-05T00:00:00"/>
    <x v="0"/>
    <x v="0"/>
    <s v="P"/>
    <m/>
    <m/>
    <m/>
    <m/>
    <m/>
    <m/>
    <m/>
    <m/>
    <m/>
    <m/>
    <m/>
    <m/>
    <m/>
    <m/>
    <m/>
    <m/>
    <s v="Completar hasta 3ra sem. para evaluar a Probacionista"/>
    <m/>
    <m/>
    <m/>
    <m/>
    <m/>
    <m/>
    <m/>
    <d v="2025-08-31T00:00:00"/>
    <m/>
    <d v="2025-09-30T00:00:00"/>
    <m/>
    <m/>
    <s v="Redes sociales"/>
    <s v="P"/>
    <s v="Huancayo - El Tambo-Marzo-Miércoles-7:00-9:00p.m.-45721"/>
    <s v="Oratoria y Filosofía"/>
    <x v="5"/>
    <x v="0"/>
  </r>
  <r>
    <x v="0"/>
    <x v="2"/>
    <x v="1"/>
    <x v="1"/>
    <x v="2"/>
    <m/>
    <s v="61444774"/>
    <s v="Allison Gisel"/>
    <s v="Nuñez Martinez"/>
    <n v="938319277"/>
    <s v="allisongiselxd@gmail.com"/>
    <d v="2008-08-05T00:00:00"/>
    <n v="16"/>
    <m/>
    <x v="0"/>
    <m/>
    <m/>
    <m/>
    <m/>
    <d v="2025-03-19T00:00:00"/>
    <d v="2025-06-05T00:00:00"/>
    <x v="0"/>
    <x v="0"/>
    <s v="P"/>
    <m/>
    <m/>
    <m/>
    <m/>
    <m/>
    <m/>
    <m/>
    <m/>
    <m/>
    <m/>
    <m/>
    <m/>
    <m/>
    <m/>
    <m/>
    <m/>
    <s v="Completar hasta 3ra sem. para evaluar a Probacionista"/>
    <m/>
    <m/>
    <m/>
    <m/>
    <m/>
    <m/>
    <m/>
    <d v="2025-08-31T00:00:00"/>
    <m/>
    <d v="2025-09-30T00:00:00"/>
    <m/>
    <m/>
    <s v="Redes sociales"/>
    <s v="P"/>
    <s v="Huancayo - El Tambo-Marzo-Miércoles-7:00-9:00p.m.-45721"/>
    <s v="Oratoria y Filosofía"/>
    <x v="5"/>
    <x v="0"/>
  </r>
  <r>
    <x v="0"/>
    <x v="2"/>
    <x v="1"/>
    <x v="1"/>
    <x v="2"/>
    <m/>
    <s v="61131451"/>
    <s v="Keila Anny"/>
    <s v="De la Cruz Gonzales"/>
    <n v="963280613"/>
    <s v="annykeiladg@gmail.com"/>
    <d v="2007-07-26T00:00:00"/>
    <n v="17"/>
    <m/>
    <x v="0"/>
    <m/>
    <m/>
    <m/>
    <m/>
    <d v="2025-03-19T00:00:00"/>
    <d v="2025-06-05T00:00:00"/>
    <x v="0"/>
    <x v="0"/>
    <s v="P"/>
    <m/>
    <m/>
    <m/>
    <m/>
    <m/>
    <m/>
    <m/>
    <m/>
    <m/>
    <m/>
    <m/>
    <m/>
    <m/>
    <m/>
    <m/>
    <m/>
    <s v="Completar hasta 3ra sem. para evaluar a Probacionista"/>
    <m/>
    <m/>
    <m/>
    <m/>
    <m/>
    <m/>
    <m/>
    <d v="2025-08-31T00:00:00"/>
    <m/>
    <d v="2025-09-30T00:00:00"/>
    <m/>
    <m/>
    <s v="Redes sociales"/>
    <s v="P"/>
    <s v="Huancayo - El Tambo-Marzo-Miércoles-7:00-9:00p.m.-45721"/>
    <s v="Oratoria y Filosofía"/>
    <x v="5"/>
    <x v="0"/>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m/>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r>
    <x v="1"/>
    <x v="3"/>
    <x v="2"/>
    <x v="2"/>
    <x v="3"/>
    <m/>
    <m/>
    <m/>
    <m/>
    <m/>
    <m/>
    <m/>
    <s v=""/>
    <m/>
    <x v="3"/>
    <m/>
    <m/>
    <m/>
    <m/>
    <s v=""/>
    <s v=""/>
    <x v="2"/>
    <x v="2"/>
    <m/>
    <m/>
    <m/>
    <m/>
    <m/>
    <m/>
    <m/>
    <m/>
    <m/>
    <m/>
    <m/>
    <m/>
    <m/>
    <m/>
    <m/>
    <m/>
    <m/>
    <s v=""/>
    <m/>
    <m/>
    <m/>
    <m/>
    <s v=""/>
    <m/>
    <m/>
    <s v=""/>
    <m/>
    <s v=""/>
    <m/>
    <m/>
    <m/>
    <s v=""/>
    <s v=""/>
    <s v=""/>
    <x v="6"/>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Huancayo - El Tambo-Enero-Lunes-5:00 - 7:00 p. m.-45670-Inscrito Nuevo"/>
    <x v="0"/>
    <x v="0"/>
    <x v="0"/>
    <s v="2025"/>
    <x v="0"/>
    <x v="0"/>
    <x v="0"/>
    <n v="11"/>
    <m/>
    <n v="8"/>
    <n v="9"/>
    <n v="10"/>
    <n v="8"/>
    <n v="5"/>
    <n v="8"/>
    <n v="6"/>
    <n v="8"/>
    <n v="6"/>
    <n v="0"/>
    <n v="0"/>
    <n v="0"/>
    <n v="0"/>
    <n v="0"/>
    <n v="0"/>
    <n v="0"/>
    <n v="0"/>
  </r>
  <r>
    <s v="Huancayo - El Tambo-Enero-Lunes-7:00 - 9:00 p. m.-45670-Recuperado otro año"/>
    <x v="0"/>
    <x v="0"/>
    <x v="0"/>
    <s v="2025"/>
    <x v="1"/>
    <x v="1"/>
    <x v="1"/>
    <n v="2"/>
    <m/>
    <n v="1"/>
    <n v="1"/>
    <n v="2"/>
    <n v="2"/>
    <n v="1"/>
    <n v="1"/>
    <n v="1"/>
    <n v="1"/>
    <n v="0"/>
    <n v="0"/>
    <n v="0"/>
    <n v="0"/>
    <n v="0"/>
    <n v="0"/>
    <n v="0"/>
    <n v="0"/>
    <n v="0"/>
  </r>
  <r>
    <s v="Huancayo - El Tambo-Enero-Lunes-7:00 - 9:00 p. m.-45670-Inscrito Nuevo"/>
    <x v="0"/>
    <x v="0"/>
    <x v="0"/>
    <s v="2025"/>
    <x v="0"/>
    <x v="1"/>
    <x v="1"/>
    <n v="2"/>
    <m/>
    <n v="2"/>
    <n v="2"/>
    <n v="2"/>
    <n v="2"/>
    <n v="0"/>
    <n v="1"/>
    <n v="1"/>
    <n v="0"/>
    <n v="0"/>
    <n v="0"/>
    <n v="0"/>
    <n v="0"/>
    <n v="0"/>
    <n v="0"/>
    <n v="0"/>
    <n v="0"/>
    <n v="0"/>
  </r>
  <r>
    <s v="Huancayo - El Tambo-Febrero-Miércoles-7:00 - 9:00 p. m.-45693-Inscrito Nuevo"/>
    <x v="0"/>
    <x v="1"/>
    <x v="1"/>
    <s v="2025"/>
    <x v="0"/>
    <x v="1"/>
    <x v="1"/>
    <n v="6"/>
    <m/>
    <n v="3"/>
    <n v="5"/>
    <n v="4"/>
    <n v="3"/>
    <n v="0"/>
    <n v="0"/>
    <n v="0"/>
    <n v="0"/>
    <n v="0"/>
    <n v="0"/>
    <n v="0"/>
    <n v="0"/>
    <n v="0"/>
    <n v="0"/>
    <n v="0"/>
    <n v="0"/>
    <n v="0"/>
  </r>
  <r>
    <s v="Huancayo - El Tambo-Febrero-Miércoles-7:00 - 9:00 p. m.-45693-Cambio de horario"/>
    <x v="0"/>
    <x v="1"/>
    <x v="1"/>
    <s v="2025"/>
    <x v="2"/>
    <x v="1"/>
    <x v="1"/>
    <n v="2"/>
    <m/>
    <n v="0"/>
    <n v="0"/>
    <n v="0"/>
    <n v="1"/>
    <n v="1"/>
    <n v="0"/>
    <n v="0"/>
    <n v="0"/>
    <n v="0"/>
    <n v="0"/>
    <n v="0"/>
    <n v="0"/>
    <n v="0"/>
    <n v="0"/>
    <n v="0"/>
    <n v="0"/>
    <n v="0"/>
  </r>
  <r>
    <s v="Huancayo - El Tambo-Marzo-Miércoles-7:00 - 9:00 p. m.-45721-Inscrito Nuevo"/>
    <x v="0"/>
    <x v="2"/>
    <x v="2"/>
    <s v="2025"/>
    <x v="0"/>
    <x v="0"/>
    <x v="0"/>
    <n v="3"/>
    <m/>
    <n v="3"/>
    <n v="0"/>
    <n v="0"/>
    <n v="0"/>
    <n v="0"/>
    <n v="0"/>
    <n v="0"/>
    <n v="0"/>
    <n v="0"/>
    <n v="0"/>
    <n v="0"/>
    <n v="0"/>
    <n v="0"/>
    <n v="0"/>
    <n v="0"/>
    <n v="0"/>
    <n v="0"/>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s v=""/>
    <x v="3"/>
    <x v="2"/>
    <x v="2"/>
    <s v=""/>
    <m/>
    <s v=""/>
    <s v=""/>
    <s v=""/>
    <s v=""/>
    <s v=""/>
    <s v=""/>
    <s v=""/>
    <s v=""/>
    <s v=""/>
    <s v=""/>
    <s v=""/>
    <s v=""/>
    <s v=""/>
    <s v=""/>
    <s v=""/>
    <s v=""/>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r>
    <s v=""/>
    <x v="1"/>
    <x v="3"/>
    <x v="3"/>
    <m/>
    <x v="3"/>
    <x v="2"/>
    <x v="2"/>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Angie Lopez"/>
    <s v="Angie Lopez"/>
    <n v="11"/>
    <m/>
    <n v="8"/>
    <n v="9"/>
    <n v="10"/>
    <n v="8"/>
    <n v="5"/>
    <n v="8"/>
    <n v="6"/>
    <n v="8"/>
    <n v="6"/>
    <n v="0"/>
    <n v="0"/>
    <n v="0"/>
    <n v="0"/>
    <n v="0"/>
    <n v="0"/>
    <n v="0"/>
    <n v="0"/>
  </r>
  <r>
    <x v="1"/>
    <x v="0"/>
    <x v="0"/>
    <x v="0"/>
    <x v="0"/>
    <x v="1"/>
    <s v="Marta Meza"/>
    <s v="Marta Meza"/>
    <n v="2"/>
    <m/>
    <n v="1"/>
    <n v="1"/>
    <n v="2"/>
    <n v="2"/>
    <n v="1"/>
    <n v="1"/>
    <n v="1"/>
    <n v="1"/>
    <n v="0"/>
    <n v="0"/>
    <n v="0"/>
    <n v="0"/>
    <n v="0"/>
    <n v="0"/>
    <n v="0"/>
    <n v="0"/>
    <n v="0"/>
  </r>
  <r>
    <x v="2"/>
    <x v="0"/>
    <x v="0"/>
    <x v="0"/>
    <x v="0"/>
    <x v="0"/>
    <s v="Marta Meza"/>
    <s v="Marta Meza"/>
    <n v="2"/>
    <m/>
    <n v="2"/>
    <n v="2"/>
    <n v="2"/>
    <n v="2"/>
    <n v="0"/>
    <n v="1"/>
    <n v="1"/>
    <n v="0"/>
    <n v="0"/>
    <n v="0"/>
    <n v="0"/>
    <n v="0"/>
    <n v="0"/>
    <n v="0"/>
    <n v="0"/>
    <n v="0"/>
    <n v="0"/>
  </r>
  <r>
    <x v="3"/>
    <x v="0"/>
    <x v="1"/>
    <x v="1"/>
    <x v="0"/>
    <x v="0"/>
    <s v="Marta Meza"/>
    <s v="Marta Meza"/>
    <n v="6"/>
    <m/>
    <n v="3"/>
    <n v="5"/>
    <n v="4"/>
    <n v="3"/>
    <n v="0"/>
    <n v="0"/>
    <n v="0"/>
    <n v="0"/>
    <n v="0"/>
    <n v="0"/>
    <n v="0"/>
    <n v="0"/>
    <n v="0"/>
    <n v="0"/>
    <n v="0"/>
    <n v="0"/>
    <n v="0"/>
  </r>
  <r>
    <x v="4"/>
    <x v="0"/>
    <x v="1"/>
    <x v="1"/>
    <x v="0"/>
    <x v="2"/>
    <s v="Marta Meza"/>
    <s v="Marta Meza"/>
    <n v="2"/>
    <m/>
    <n v="0"/>
    <n v="0"/>
    <n v="0"/>
    <n v="1"/>
    <n v="1"/>
    <n v="0"/>
    <n v="0"/>
    <n v="0"/>
    <n v="0"/>
    <n v="0"/>
    <n v="0"/>
    <n v="0"/>
    <n v="0"/>
    <n v="0"/>
    <n v="0"/>
    <n v="0"/>
    <n v="0"/>
  </r>
  <r>
    <x v="5"/>
    <x v="0"/>
    <x v="2"/>
    <x v="2"/>
    <x v="0"/>
    <x v="0"/>
    <s v="Angie Lopez"/>
    <s v="Angie Lopez"/>
    <n v="3"/>
    <m/>
    <n v="3"/>
    <n v="0"/>
    <n v="0"/>
    <n v="0"/>
    <n v="0"/>
    <n v="0"/>
    <n v="0"/>
    <n v="0"/>
    <n v="0"/>
    <n v="0"/>
    <n v="0"/>
    <n v="0"/>
    <n v="0"/>
    <n v="0"/>
    <n v="0"/>
    <n v="0"/>
    <n v="0"/>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1"/>
    <x v="3"/>
    <s v=""/>
    <s v=""/>
    <s v=""/>
    <m/>
    <s v=""/>
    <s v=""/>
    <s v=""/>
    <s v=""/>
    <s v=""/>
    <s v=""/>
    <s v=""/>
    <s v=""/>
    <s v=""/>
    <s v=""/>
    <s v=""/>
    <s v=""/>
    <s v=""/>
    <s v=""/>
    <s v=""/>
    <s v=""/>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6"/>
    <x v="1"/>
    <x v="3"/>
    <x v="3"/>
    <x v="2"/>
    <x v="3"/>
    <s v=""/>
    <s v=""/>
    <s v=""/>
    <m/>
    <s v=""/>
    <s v=""/>
    <s v=""/>
    <s v=""/>
    <s v=""/>
    <s v=""/>
    <s v=""/>
    <s v=""/>
    <s v=""/>
    <s v=""/>
    <s v=""/>
    <s v=""/>
    <m/>
    <m/>
    <m/>
    <m/>
    <s v=""/>
  </r>
  <r>
    <x v="7"/>
    <x v="2"/>
    <x v="4"/>
    <x v="4"/>
    <x v="2"/>
    <x v="4"/>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3C389F-78BE-4824-A021-3CE52A1D57D6}" name="TablaDinámica3" cacheId="485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0"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5">
    <i>
      <x/>
      <x v="1"/>
    </i>
    <i r="1">
      <x v="2"/>
    </i>
    <i>
      <x v="1"/>
      <x v="2"/>
    </i>
    <i>
      <x v="2"/>
      <x v="2"/>
    </i>
    <i>
      <x v="3"/>
      <x/>
    </i>
  </rowItems>
  <colItems count="1">
    <i/>
  </colItems>
  <formats count="9">
    <format dxfId="95">
      <pivotArea dataOnly="0" labelOnly="1" outline="0" fieldPosition="0">
        <references count="1">
          <reference field="4" count="0"/>
        </references>
      </pivotArea>
    </format>
    <format dxfId="96">
      <pivotArea field="4" type="button" dataOnly="0" labelOnly="1" outline="0" axis="axisRow" fieldPosition="0"/>
    </format>
    <format dxfId="97">
      <pivotArea field="4" type="button" dataOnly="0" labelOnly="1" outline="0" axis="axisRow" fieldPosition="0"/>
    </format>
    <format dxfId="98">
      <pivotArea dataOnly="0" labelOnly="1" outline="0" fieldPosition="0">
        <references count="1">
          <reference field="4" count="1">
            <x v="3"/>
          </reference>
        </references>
      </pivotArea>
    </format>
    <format dxfId="99">
      <pivotArea dataOnly="0" labelOnly="1" outline="0" fieldPosition="0">
        <references count="2">
          <reference field="3" count="1">
            <x v="0"/>
          </reference>
          <reference field="4" count="1" selected="0">
            <x v="3"/>
          </reference>
        </references>
      </pivotArea>
    </format>
    <format dxfId="100">
      <pivotArea field="4" type="button" dataOnly="0" labelOnly="1" outline="0" axis="axisRow" fieldPosition="0"/>
    </format>
    <format dxfId="101">
      <pivotArea field="3" type="button" dataOnly="0" labelOnly="1" outline="0" axis="axisRow" fieldPosition="1"/>
    </format>
    <format dxfId="102">
      <pivotArea dataOnly="0" labelOnly="1" outline="0" fieldPosition="0">
        <references count="1">
          <reference field="4" count="1">
            <x v="0"/>
          </reference>
        </references>
      </pivotArea>
    </format>
    <format dxfId="103">
      <pivotArea dataOnly="0" labelOnly="1" outline="0" fieldPosition="0">
        <references count="2">
          <reference field="3" count="2">
            <x v="1"/>
            <x v="2"/>
          </reference>
          <reference field="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487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2" firstHeaderRow="1" firstDataRow="1" firstDataCol="6" rowPageCount="2" colPageCount="1"/>
  <pivotFields count="61">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Page" compact="0" outline="0" showAll="0">
      <items count="12">
        <item x="0"/>
        <item x="1"/>
        <item m="1" x="4"/>
        <item x="3"/>
        <item m="1" x="5"/>
        <item m="1" x="6"/>
        <item m="1" x="7"/>
        <item m="1" x="8"/>
        <item m="1" x="9"/>
        <item m="1" x="10"/>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m="1" x="16"/>
        <item m="1" x="17"/>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4">
        <item x="6"/>
        <item m="1" x="9"/>
        <item m="1" x="10"/>
        <item m="1" x="11"/>
        <item m="1" x="12"/>
        <item m="1" x="13"/>
        <item m="1" x="14"/>
        <item m="1" x="15"/>
        <item m="1" x="16"/>
        <item m="1" x="17"/>
        <item m="1" x="18"/>
        <item m="1" x="19"/>
        <item m="1" x="20"/>
        <item m="1" x="21"/>
        <item m="1" x="23"/>
        <item m="1" x="22"/>
        <item m="1" x="8"/>
        <item m="1" x="7"/>
        <item x="0"/>
        <item x="1"/>
        <item x="2"/>
        <item x="3"/>
        <item x="4"/>
        <item x="5"/>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6">
    <i>
      <x v="12"/>
      <x v="18"/>
      <x v="1"/>
      <x/>
      <x v="7"/>
      <x v="7"/>
    </i>
    <i r="1">
      <x v="19"/>
      <x v="1"/>
      <x v="3"/>
      <x v="8"/>
      <x v="8"/>
    </i>
    <i r="1">
      <x v="20"/>
      <x v="1"/>
      <x/>
      <x v="8"/>
      <x v="8"/>
    </i>
    <i>
      <x v="15"/>
      <x v="21"/>
      <x v="1"/>
      <x/>
      <x v="8"/>
      <x v="8"/>
    </i>
    <i r="1">
      <x v="22"/>
      <x v="1"/>
      <x v="4"/>
      <x v="8"/>
      <x v="8"/>
    </i>
    <i>
      <x v="16"/>
      <x v="23"/>
      <x v="1"/>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4889"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3" firstHeaderRow="0" firstDataRow="1" firstDataCol="3"/>
  <pivotFields count="28">
    <pivotField name="Grupo" axis="axisRow" compact="0" outline="0" showAll="0" defaultSubtotal="0">
      <items count="39">
        <item x="6"/>
        <item m="1" x="24"/>
        <item m="1" x="25"/>
        <item m="1" x="26"/>
        <item m="1" x="27"/>
        <item m="1" x="28"/>
        <item m="1" x="34"/>
        <item m="1" x="29"/>
        <item m="1" x="30"/>
        <item m="1" x="35"/>
        <item m="1" x="36"/>
        <item m="1" x="37"/>
        <item m="1" x="38"/>
        <item x="7"/>
        <item m="1" x="31"/>
        <item m="1" x="32"/>
        <item m="1" x="33"/>
        <item m="1" x="10"/>
        <item m="1" x="11"/>
        <item m="1" x="12"/>
        <item m="1" x="13"/>
        <item m="1" x="14"/>
        <item m="1" x="15"/>
        <item m="1" x="16"/>
        <item m="1" x="17"/>
        <item m="1" x="18"/>
        <item m="1" x="21"/>
        <item m="1" x="19"/>
        <item m="1" x="20"/>
        <item m="1" x="22"/>
        <item m="1" x="23"/>
        <item m="1" x="9"/>
        <item m="1" x="8"/>
        <item x="0"/>
        <item x="1"/>
        <item x="2"/>
        <item x="3"/>
        <item x="4"/>
        <item x="5"/>
      </items>
      <extLst>
        <ext xmlns:x14="http://schemas.microsoft.com/office/spreadsheetml/2009/9/main" uri="{2946ED86-A175-432a-8AC1-64E0C546D7DE}">
          <x14:pivotField fillDownLabels="1"/>
        </ext>
      </extLst>
    </pivotField>
    <pivotField compact="0" outline="0" showAll="0">
      <items count="7">
        <item x="1"/>
        <item m="1" x="5"/>
        <item m="1" x="3"/>
        <item m="1" x="4"/>
        <item x="0"/>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m="1" x="5"/>
        <item x="0"/>
        <item m="1" x="17"/>
        <item x="1"/>
        <item x="2"/>
        <item x="4"/>
      </items>
      <extLst>
        <ext xmlns:x14="http://schemas.microsoft.com/office/spreadsheetml/2009/9/main" uri="{2946ED86-A175-432a-8AC1-64E0C546D7DE}">
          <x14:pivotField fillDownLabels="1"/>
        </ext>
      </extLst>
    </pivotField>
    <pivotField compact="0" outline="0" showAll="0">
      <items count="25">
        <item x="0"/>
        <item m="1" x="5"/>
        <item x="1"/>
        <item x="2"/>
        <item m="1" x="17"/>
        <item m="1" x="18"/>
        <item m="1" x="19"/>
        <item m="1" x="20"/>
        <item m="1" x="21"/>
        <item m="1" x="6"/>
        <item m="1" x="7"/>
        <item m="1" x="22"/>
        <item m="1" x="23"/>
        <item m="1" x="8"/>
        <item m="1" x="9"/>
        <item m="1" x="10"/>
        <item m="1" x="11"/>
        <item m="1" x="12"/>
        <item m="1" x="13"/>
        <item m="1" x="14"/>
        <item x="3"/>
        <item m="1" x="15"/>
        <item m="1" x="16"/>
        <item x="4"/>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3"/>
        <item x="0"/>
        <item x="4"/>
        <item m="1" x="6"/>
        <item m="1" x="5"/>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9">
    <i>
      <x/>
      <x/>
      <x/>
    </i>
    <i>
      <x v="15"/>
      <x v="33"/>
      <x v="1"/>
    </i>
    <i r="1">
      <x v="34"/>
      <x v="5"/>
    </i>
    <i r="1">
      <x v="35"/>
      <x v="1"/>
    </i>
    <i>
      <x v="17"/>
      <x v="36"/>
      <x v="1"/>
    </i>
    <i r="1">
      <x v="37"/>
      <x v="6"/>
    </i>
    <i>
      <x v="18"/>
      <x v="38"/>
      <x v="1"/>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4">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4871"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x="0"/>
        <item m="1" x="2"/>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h="1" x="0"/>
        <item x="1"/>
        <item h="1" m="1" x="4"/>
        <item h="1" m="1" x="5"/>
        <item h="1" m="1" x="6"/>
        <item h="1" m="1" x="7"/>
        <item h="1" m="1" x="8"/>
        <item h="1" m="1" x="9"/>
        <item h="1" m="1" x="10"/>
        <item h="1" x="3"/>
        <item h="1" x="2"/>
        <item t="default"/>
      </items>
      <extLst>
        <ext xmlns:x14="http://schemas.microsoft.com/office/spreadsheetml/2009/9/main" uri="{2946ED86-A175-432a-8AC1-64E0C546D7DE}">
          <x14:pivotField fillDownLabels="1"/>
        </ext>
      </extLst>
    </pivotField>
    <pivotField compact="0" outline="0" showAll="0">
      <items count="9">
        <item x="0"/>
        <item m="1" x="5"/>
        <item x="1"/>
        <item m="1" x="6"/>
        <item m="1" x="7"/>
        <item m="1" x="3"/>
        <item m="1" x="4"/>
        <item x="2"/>
        <item t="default"/>
      </items>
      <extLst>
        <ext xmlns:x14="http://schemas.microsoft.com/office/spreadsheetml/2009/9/main" uri="{2946ED86-A175-432a-8AC1-64E0C546D7DE}">
          <x14:pivotField fillDownLabels="1"/>
        </ext>
      </extLst>
    </pivotField>
    <pivotField compact="0" outline="0" showAll="0">
      <items count="8">
        <item m="1" x="5"/>
        <item x="0"/>
        <item m="1" x="4"/>
        <item x="1"/>
        <item m="1" x="6"/>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m="1" x="16"/>
        <item m="1" x="17"/>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5"/>
      <x/>
      <x/>
      <x v="8"/>
      <x v="8"/>
    </i>
    <i r="2">
      <x v="4"/>
      <x v="8"/>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4880"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1"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x="0"/>
        <item m="1" x="2"/>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m="1" x="4"/>
        <item x="0"/>
        <item m="1" x="16"/>
        <item x="1"/>
        <item x="2"/>
      </items>
      <extLst>
        <ext xmlns:x14="http://schemas.microsoft.com/office/spreadsheetml/2009/9/main" uri="{2946ED86-A175-432a-8AC1-64E0C546D7DE}">
          <x14:pivotField fillDownLabels="1"/>
        </ext>
      </extLst>
    </pivotField>
    <pivotField axis="axisRow" compact="0" outline="0" showAll="0" defaultSubtotal="0">
      <items count="14">
        <item x="3"/>
        <item m="1" x="5"/>
        <item m="1" x="4"/>
        <item m="1" x="7"/>
        <item m="1" x="8"/>
        <item m="1" x="9"/>
        <item m="1" x="10"/>
        <item m="1" x="11"/>
        <item m="1" x="12"/>
        <item m="1" x="13"/>
        <item x="0"/>
        <item x="1"/>
        <item m="1" x="6"/>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3"/>
        <item x="0"/>
        <item m="1" x="4"/>
        <item x="1"/>
        <item x="2"/>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8">
    <i>
      <x/>
      <x/>
      <x/>
      <x/>
      <x/>
    </i>
    <i>
      <x v="13"/>
      <x v="10"/>
      <x v="1"/>
      <x v="7"/>
      <x v="7"/>
    </i>
    <i r="3">
      <x v="8"/>
      <x v="8"/>
    </i>
    <i r="2">
      <x v="3"/>
      <x v="8"/>
      <x v="8"/>
    </i>
    <i>
      <x v="15"/>
      <x v="11"/>
      <x v="1"/>
      <x v="8"/>
      <x v="8"/>
    </i>
    <i r="2">
      <x v="4"/>
      <x v="8"/>
      <x v="8"/>
    </i>
    <i>
      <x v="16"/>
      <x v="13"/>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4">
        <i x="0" s="1"/>
        <i x="1" s="1"/>
        <i x="2" s="1"/>
        <i x="3" s="1"/>
        <i x="4" s="1" nd="1"/>
        <i x="5" s="1" nd="1"/>
        <i x="6" s="1" nd="1"/>
        <i x="7" s="1" nd="1"/>
        <i x="8" s="1" nd="1"/>
        <i x="9" s="1" nd="1"/>
        <i x="10" s="1" nd="1"/>
        <i x="11" s="1" nd="1"/>
        <i x="12"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3" s="1"/>
        <i x="2" s="1"/>
        <i x="0" s="1"/>
        <i x="1" s="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2" s="1" nd="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i x="1" s="1"/>
        <i x="2"/>
        <i x="4" nd="1"/>
        <i x="5" nd="1"/>
        <i x="6" nd="1"/>
        <i x="7" nd="1"/>
        <i x="9" nd="1"/>
        <i x="10" nd="1"/>
        <i x="8" nd="1"/>
        <i x="3"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1" s="1"/>
        <i x="0" s="1" nd="1"/>
        <i x="5" s="1" nd="1"/>
        <i x="6" s="1" nd="1"/>
        <i x="7" s="1" nd="1"/>
        <i x="3" s="1" nd="1"/>
        <i x="4"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1" s="1"/>
        <i x="5" s="1" nd="1"/>
        <i x="0" s="1" nd="1"/>
        <i x="4" s="1" nd="1"/>
        <i x="6" s="1" nd="1"/>
        <i x="3"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1" s="1"/>
        <i x="5" s="1" nd="1"/>
        <i x="6" s="1" nd="1"/>
        <i x="7" s="1" nd="1"/>
        <i x="8" s="1" nd="1"/>
        <i x="9" s="1" nd="1"/>
        <i x="10" s="1" nd="1"/>
        <i x="11" s="1" nd="1"/>
        <i x="12" s="1" nd="1"/>
        <i x="13" s="1" nd="1"/>
        <i x="15" s="1" nd="1"/>
        <i x="14" s="1" nd="1"/>
        <i x="4" s="1" nd="1"/>
        <i x="0" s="1" nd="1"/>
        <i x="16" s="1" nd="1"/>
        <i x="17" s="1" nd="1"/>
        <i x="2"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2" s="1"/>
        <i x="0" s="1"/>
        <i x="4" s="1" nd="1"/>
        <i x="1"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3" s="1"/>
        <i x="2" s="1"/>
        <i x="0" s="1"/>
        <i x="1" s="1"/>
        <i x="4" s="1"/>
        <i x="6"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4" s="1"/>
        <i x="5" s="1" nd="1"/>
        <i x="6" s="1" nd="1"/>
        <i x="18" s="1" nd="1"/>
        <i x="19" s="1" nd="1"/>
        <i x="21" s="1" nd="1"/>
        <i x="22" s="1" nd="1"/>
        <i x="7" s="1" nd="1"/>
        <i x="20" s="1" nd="1"/>
        <i x="8" s="1" nd="1"/>
        <i x="9" s="1" nd="1"/>
        <i x="10" s="1" nd="1"/>
        <i x="11" s="1" nd="1"/>
        <i x="17" s="1" nd="1"/>
        <i x="12" s="1" nd="1"/>
        <i x="23" s="1" nd="1"/>
        <i x="13" s="1" nd="1"/>
        <i x="14" s="1" nd="1"/>
        <i x="15" s="1" nd="1"/>
        <i x="16"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AC156D8B-FB58-45EB-9293-70666DDCBD4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475DDBDC-B3F0-4837-94E4-9A62696FD1D4}"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DD340E5-A4A7-46F9-89D3-065F67FE857D}"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B7E878-DE0F-4095-B93A-8DA8626BCF16}" name="Tabla2" displayName="Tabla2" ref="B5:C102" totalsRowShown="0" headerRowDxfId="2">
  <autoFilter ref="B5:C102" xr:uid="{C4FD57D3-6F2A-447A-8FCE-3E92FAF779C7}"/>
  <tableColumns count="2">
    <tableColumn id="1" xr3:uid="{9691E558-E84D-40F2-8D65-D530DF7ED037}" name="FERIADOS" dataDxfId="1"/>
    <tableColumn id="2" xr3:uid="{48F3B4DE-6B85-4EBF-A16B-087802A29936}"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E13" activePane="bottomRight" state="frozen"/>
      <selection pane="bottomRight" activeCell="AG18" sqref="AG18"/>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3" t="s">
        <v>76</v>
      </c>
      <c r="I4" s="42" t="s">
        <v>77</v>
      </c>
      <c r="J4" s="28" t="s">
        <v>78</v>
      </c>
      <c r="K4" s="258">
        <v>915067447</v>
      </c>
      <c r="L4" s="68" t="s">
        <v>79</v>
      </c>
      <c r="M4" s="259">
        <v>38980</v>
      </c>
      <c r="N4" s="238">
        <f ca="1">IF(Tabla1[[#This Row],[Fecha de nac]]="","",IF(Tabla1[[#This Row],[Fecha Finalización]] &gt;=TODAY(), DATEDIF(Tabla1[[#This Row],[Fecha de nac]],TODAY(),"y"), ROUNDDOWN((Tabla1[[#This Row],[Fecha Finalización]] -Tabla1[[#This Row],[Fecha de nac]])/365,0)))</f>
        <v>18</v>
      </c>
      <c r="O4" s="168" t="s">
        <v>80</v>
      </c>
      <c r="P4" s="72" t="s">
        <v>81</v>
      </c>
      <c r="Q4" s="73"/>
      <c r="R4" s="78"/>
      <c r="S4" s="78"/>
      <c r="T4" s="78"/>
      <c r="U4" s="240">
        <f>IF(F4="","",Tabla1[[#This Row],[Fecha Inicio grupo]]+3*7-7)</f>
        <v>45684</v>
      </c>
      <c r="V4" s="241">
        <f>IF(F4="","",EDATE(Tabla1[[#This Row],[Fecha Inicio grupo]],3))</f>
        <v>45760</v>
      </c>
      <c r="W4" s="34" t="s">
        <v>82</v>
      </c>
      <c r="X4" s="34" t="s">
        <v>82</v>
      </c>
      <c r="Y4" s="76" t="s">
        <v>83</v>
      </c>
      <c r="Z4" s="76" t="s">
        <v>83</v>
      </c>
      <c r="AA4" s="76" t="s">
        <v>83</v>
      </c>
      <c r="AB4" s="76" t="s">
        <v>83</v>
      </c>
      <c r="AC4" s="76" t="s">
        <v>84</v>
      </c>
      <c r="AD4" s="76" t="s">
        <v>83</v>
      </c>
      <c r="AE4" s="76" t="s">
        <v>83</v>
      </c>
      <c r="AF4" s="76" t="s">
        <v>83</v>
      </c>
      <c r="AG4" s="76" t="s">
        <v>83</v>
      </c>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t="s">
        <v>85</v>
      </c>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Huancayo - El Tambo-Enero-Lunes-5:00-7:00p.m.-45670</v>
      </c>
      <c r="BF4" s="251" t="str">
        <f>IF(F4="","",Tabla1[[#This Row],[Curso]])</f>
        <v>Oratoria y Filosofía</v>
      </c>
      <c r="BG4" s="252" t="str">
        <f>+IF(TRIM(F4)="","",$B$1&amp;"-"&amp;TRIM(Tabla1[[#This Row],[Mes Inscrito]])&amp;"-"&amp;TRIM(Tabla1[[#This Row],[Dia de clases Inscrito]])&amp;"-"&amp;TRIM(Tabla1[[#This Row],[Horario Inscrito]])&amp;"-"&amp;TRIM(Tabla1[[#This Row],[Fecha Inicio grupo]])&amp;"-"&amp;TRIM(Tabla1[[#This Row],[Tipo Incrito]]))</f>
        <v>Huancayo - El Tambo-Enero-Lunes-5:00 - 7:00 p. m.-45670-Inscrito Nuevo</v>
      </c>
      <c r="BH4" s="309"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0">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10"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0"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3" t="s">
        <v>86</v>
      </c>
      <c r="I5" s="28" t="s">
        <v>87</v>
      </c>
      <c r="J5" s="28" t="s">
        <v>88</v>
      </c>
      <c r="K5" s="69">
        <v>980650401</v>
      </c>
      <c r="L5" s="68" t="s">
        <v>89</v>
      </c>
      <c r="M5" s="46">
        <v>39088</v>
      </c>
      <c r="N5" s="238">
        <f ca="1">IF(Tabla1[[#This Row],[Fecha de nac]]="","",IF(Tabla1[[#This Row],[Fecha Finalización]] &gt;=TODAY(), DATEDIF(Tabla1[[#This Row],[Fecha de nac]],TODAY(),"y"), ROUNDDOWN((Tabla1[[#This Row],[Fecha Finalización]] -Tabla1[[#This Row],[Fecha de nac]])/365,0)))</f>
        <v>18</v>
      </c>
      <c r="O5" s="168" t="s">
        <v>80</v>
      </c>
      <c r="P5" s="72" t="s">
        <v>81</v>
      </c>
      <c r="Q5" s="73"/>
      <c r="R5" s="78"/>
      <c r="S5" s="78"/>
      <c r="T5" s="78"/>
      <c r="U5" s="240">
        <f>IF(F5="","",Tabla1[[#This Row],[Fecha Inicio grupo]]+3*7-7)</f>
        <v>45684</v>
      </c>
      <c r="V5" s="241">
        <f>IF(F5="","",EDATE(Tabla1[[#This Row],[Fecha Inicio grupo]],3))</f>
        <v>45760</v>
      </c>
      <c r="W5" s="34" t="s">
        <v>82</v>
      </c>
      <c r="X5" s="34" t="s">
        <v>82</v>
      </c>
      <c r="Y5" s="76" t="s">
        <v>83</v>
      </c>
      <c r="Z5" s="76" t="s">
        <v>83</v>
      </c>
      <c r="AA5" s="76" t="s">
        <v>83</v>
      </c>
      <c r="AB5" s="76" t="s">
        <v>83</v>
      </c>
      <c r="AC5" s="76" t="s">
        <v>84</v>
      </c>
      <c r="AD5" s="76" t="s">
        <v>83</v>
      </c>
      <c r="AE5" s="76" t="s">
        <v>83</v>
      </c>
      <c r="AF5" s="76" t="s">
        <v>83</v>
      </c>
      <c r="AG5" s="76" t="s">
        <v>83</v>
      </c>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t="s">
        <v>85</v>
      </c>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Huancayo - El Tambo-Enero-Lunes-5:00-7:00p.m.-45670</v>
      </c>
      <c r="BF5" s="251" t="str">
        <f>IF(F5="","",Tabla1[[#This Row],[Curso]])</f>
        <v>Oratoria y Filosofía</v>
      </c>
      <c r="BG5" s="252" t="str">
        <f>+IF(TRIM(F5)="","",$B$1&amp;"-"&amp;TRIM(Tabla1[[#This Row],[Mes Inscrito]])&amp;"-"&amp;TRIM(Tabla1[[#This Row],[Dia de clases Inscrito]])&amp;"-"&amp;TRIM(Tabla1[[#This Row],[Horario Inscrito]])&amp;"-"&amp;TRIM(Tabla1[[#This Row],[Fecha Inicio grupo]])&amp;"-"&amp;TRIM(Tabla1[[#This Row],[Tipo Incrito]]))</f>
        <v>Huancayo - El Tambo-Enero-Lunes-5:00 - 7:00 p. m.-45670-Inscrito Nuevo</v>
      </c>
      <c r="BH5" s="309"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0">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10"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0"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c r="H6" s="163" t="s">
        <v>90</v>
      </c>
      <c r="I6" s="28" t="s">
        <v>91</v>
      </c>
      <c r="J6" s="28" t="s">
        <v>92</v>
      </c>
      <c r="K6" s="69">
        <v>940864298</v>
      </c>
      <c r="L6" s="68" t="s">
        <v>93</v>
      </c>
      <c r="M6" s="46">
        <v>38871</v>
      </c>
      <c r="N6" s="238">
        <f ca="1">IF(Tabla1[[#This Row],[Fecha de nac]]="","",IF(Tabla1[[#This Row],[Fecha Finalización]] &gt;=TODAY(), DATEDIF(Tabla1[[#This Row],[Fecha de nac]],TODAY(),"y"), ROUNDDOWN((Tabla1[[#This Row],[Fecha Finalización]] -Tabla1[[#This Row],[Fecha de nac]])/365,0)))</f>
        <v>18</v>
      </c>
      <c r="O6" s="168" t="s">
        <v>80</v>
      </c>
      <c r="P6" s="72" t="s">
        <v>81</v>
      </c>
      <c r="Q6" s="73"/>
      <c r="R6" s="72"/>
      <c r="S6" s="79"/>
      <c r="T6" s="79"/>
      <c r="U6" s="240">
        <f>IF(F6="","",Tabla1[[#This Row],[Fecha Inicio grupo]]+3*7-7)</f>
        <v>45684</v>
      </c>
      <c r="V6" s="241">
        <f>IF(F6="","",EDATE(Tabla1[[#This Row],[Fecha Inicio grupo]],3))</f>
        <v>45760</v>
      </c>
      <c r="W6" s="34" t="s">
        <v>82</v>
      </c>
      <c r="X6" s="34" t="s">
        <v>82</v>
      </c>
      <c r="Y6" s="76" t="s">
        <v>83</v>
      </c>
      <c r="Z6" s="76" t="s">
        <v>83</v>
      </c>
      <c r="AA6" s="76" t="s">
        <v>83</v>
      </c>
      <c r="AB6" s="76" t="s">
        <v>83</v>
      </c>
      <c r="AC6" s="76" t="s">
        <v>84</v>
      </c>
      <c r="AD6" s="76" t="s">
        <v>83</v>
      </c>
      <c r="AE6" s="76" t="s">
        <v>83</v>
      </c>
      <c r="AF6" s="76" t="s">
        <v>83</v>
      </c>
      <c r="AG6" s="76" t="s">
        <v>83</v>
      </c>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t="s">
        <v>85</v>
      </c>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Huancayo - El Tambo-Enero-Lunes-5:00-7:00p.m.-45670</v>
      </c>
      <c r="BF6" s="251" t="str">
        <f>IF(F6="","",Tabla1[[#This Row],[Curso]])</f>
        <v>Oratoria y Filosofía</v>
      </c>
      <c r="BG6" s="252" t="str">
        <f>+IF(TRIM(F6)="","",$B$1&amp;"-"&amp;TRIM(Tabla1[[#This Row],[Mes Inscrito]])&amp;"-"&amp;TRIM(Tabla1[[#This Row],[Dia de clases Inscrito]])&amp;"-"&amp;TRIM(Tabla1[[#This Row],[Horario Inscrito]])&amp;"-"&amp;TRIM(Tabla1[[#This Row],[Fecha Inicio grupo]])&amp;"-"&amp;TRIM(Tabla1[[#This Row],[Tipo Incrito]]))</f>
        <v>Huancayo - El Tambo-Enero-Lunes-5:00 - 7:00 p. m.-45670-Inscrito Nuevo</v>
      </c>
      <c r="BH6" s="309"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0">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6" s="310"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0"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c r="H7" s="163" t="s">
        <v>94</v>
      </c>
      <c r="I7" s="28" t="s">
        <v>95</v>
      </c>
      <c r="J7" s="28" t="s">
        <v>96</v>
      </c>
      <c r="K7" s="69">
        <v>954818221</v>
      </c>
      <c r="L7" s="68" t="s">
        <v>97</v>
      </c>
      <c r="M7" s="46">
        <v>38789</v>
      </c>
      <c r="N7" s="238">
        <f ca="1">IF(Tabla1[[#This Row],[Fecha de nac]]="","",IF(Tabla1[[#This Row],[Fecha Finalización]] &gt;=TODAY(), DATEDIF(Tabla1[[#This Row],[Fecha de nac]],TODAY(),"y"), ROUNDDOWN((Tabla1[[#This Row],[Fecha Finalización]] -Tabla1[[#This Row],[Fecha de nac]])/365,0)))</f>
        <v>18</v>
      </c>
      <c r="O7" s="168" t="s">
        <v>80</v>
      </c>
      <c r="P7" s="72" t="s">
        <v>81</v>
      </c>
      <c r="Q7" s="73"/>
      <c r="R7" s="78"/>
      <c r="S7" s="78"/>
      <c r="T7" s="78"/>
      <c r="U7" s="240">
        <f>IF(F7="","",Tabla1[[#This Row],[Fecha Inicio grupo]]+3*7-7)</f>
        <v>45684</v>
      </c>
      <c r="V7" s="241">
        <f>IF(F7="","",EDATE(Tabla1[[#This Row],[Fecha Inicio grupo]],3))</f>
        <v>45760</v>
      </c>
      <c r="W7" s="34" t="s">
        <v>82</v>
      </c>
      <c r="X7" s="34" t="s">
        <v>82</v>
      </c>
      <c r="Y7" s="76" t="s">
        <v>83</v>
      </c>
      <c r="Z7" s="76" t="s">
        <v>83</v>
      </c>
      <c r="AA7" s="76" t="s">
        <v>83</v>
      </c>
      <c r="AB7" s="76" t="s">
        <v>83</v>
      </c>
      <c r="AC7" s="76" t="s">
        <v>83</v>
      </c>
      <c r="AD7" s="76" t="s">
        <v>83</v>
      </c>
      <c r="AE7" s="76" t="s">
        <v>84</v>
      </c>
      <c r="AF7" s="76" t="s">
        <v>83</v>
      </c>
      <c r="AG7" s="76" t="s">
        <v>84</v>
      </c>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t="s">
        <v>98</v>
      </c>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Huancayo - El Tambo-Enero-Lunes-5:00-7:00p.m.-45670</v>
      </c>
      <c r="BF7" s="251" t="str">
        <f>IF(F7="","",Tabla1[[#This Row],[Curso]])</f>
        <v>Oratoria y Filosofía</v>
      </c>
      <c r="BG7" s="252" t="str">
        <f>+IF(TRIM(F7)="","",$B$1&amp;"-"&amp;TRIM(Tabla1[[#This Row],[Mes Inscrito]])&amp;"-"&amp;TRIM(Tabla1[[#This Row],[Dia de clases Inscrito]])&amp;"-"&amp;TRIM(Tabla1[[#This Row],[Horario Inscrito]])&amp;"-"&amp;TRIM(Tabla1[[#This Row],[Fecha Inicio grupo]])&amp;"-"&amp;TRIM(Tabla1[[#This Row],[Tipo Incrito]]))</f>
        <v>Huancayo - El Tambo-Enero-Lunes-5:00 - 7:00 p. m.-45670-Inscrito Nuevo</v>
      </c>
      <c r="BH7" s="309"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0">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310"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0"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45670</v>
      </c>
      <c r="G8" s="45"/>
      <c r="H8" s="163" t="s">
        <v>99</v>
      </c>
      <c r="I8" s="28" t="s">
        <v>100</v>
      </c>
      <c r="J8" s="28" t="s">
        <v>101</v>
      </c>
      <c r="K8" s="69">
        <v>971464096</v>
      </c>
      <c r="L8" s="68" t="s">
        <v>102</v>
      </c>
      <c r="M8" s="46">
        <v>39073</v>
      </c>
      <c r="N8" s="238">
        <f ca="1">IF(Tabla1[[#This Row],[Fecha de nac]]="","",IF(Tabla1[[#This Row],[Fecha Finalización]] &gt;=TODAY(), DATEDIF(Tabla1[[#This Row],[Fecha de nac]],TODAY(),"y"), ROUNDDOWN((Tabla1[[#This Row],[Fecha Finalización]] -Tabla1[[#This Row],[Fecha de nac]])/365,0)))</f>
        <v>18</v>
      </c>
      <c r="O8" s="168" t="s">
        <v>80</v>
      </c>
      <c r="P8" s="72" t="s">
        <v>81</v>
      </c>
      <c r="Q8" s="73"/>
      <c r="R8" s="78"/>
      <c r="S8" s="78"/>
      <c r="T8" s="78"/>
      <c r="U8" s="240">
        <f>IF(F8="","",Tabla1[[#This Row],[Fecha Inicio grupo]]+3*7-7)</f>
        <v>45684</v>
      </c>
      <c r="V8" s="241">
        <f>IF(F8="","",EDATE(Tabla1[[#This Row],[Fecha Inicio grupo]],3))</f>
        <v>45760</v>
      </c>
      <c r="W8" s="34" t="s">
        <v>82</v>
      </c>
      <c r="X8" s="34" t="s">
        <v>82</v>
      </c>
      <c r="Y8" s="76" t="s">
        <v>83</v>
      </c>
      <c r="Z8" s="76" t="s">
        <v>83</v>
      </c>
      <c r="AA8" s="76" t="s">
        <v>83</v>
      </c>
      <c r="AB8" s="76" t="s">
        <v>83</v>
      </c>
      <c r="AC8" s="76" t="s">
        <v>83</v>
      </c>
      <c r="AD8" s="76" t="s">
        <v>83</v>
      </c>
      <c r="AE8" s="76" t="s">
        <v>84</v>
      </c>
      <c r="AF8" s="76" t="s">
        <v>83</v>
      </c>
      <c r="AG8" s="76" t="s">
        <v>83</v>
      </c>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t="s">
        <v>103</v>
      </c>
      <c r="BD8" s="233" t="str">
        <f>IF(F8="","",Tabla1[[#This Row],[sem 01]]&amp;Tabla1[[#This Row],[sem 02]]&amp;Tabla1[[#This Row],[sem 03]])</f>
        <v>PPP</v>
      </c>
      <c r="BE8" s="234" t="str">
        <f>IF(TRIM(F8)="","",$B$1&amp;"-"&amp;SUBSTITUTE(Tabla1[[#This Row],[Mes Inscrito]]," ","")&amp;"-"&amp;SUBSTITUTE(Tabla1[[#This Row],[Dia de clases Inscrito]]," ","")&amp;"-"&amp;SUBSTITUTE(Tabla1[[#This Row],[Horario Inscrito]]," ","")&amp;"-"&amp;Tabla1[[#This Row],[Fecha Inicio grupo]])</f>
        <v>Huancayo - El Tambo-Enero-Lunes-5:00-7:00p.m.-45670</v>
      </c>
      <c r="BF8" s="251" t="str">
        <f>IF(F8="","",Tabla1[[#This Row],[Curso]])</f>
        <v>Oratoria y Filosofía</v>
      </c>
      <c r="BG8" s="252" t="str">
        <f>+IF(TRIM(F8)="","",$B$1&amp;"-"&amp;TRIM(Tabla1[[#This Row],[Mes Inscrito]])&amp;"-"&amp;TRIM(Tabla1[[#This Row],[Dia de clases Inscrito]])&amp;"-"&amp;TRIM(Tabla1[[#This Row],[Horario Inscrito]])&amp;"-"&amp;TRIM(Tabla1[[#This Row],[Fecha Inicio grupo]])&amp;"-"&amp;TRIM(Tabla1[[#This Row],[Tipo Incrito]]))</f>
        <v>Huancayo - El Tambo-Enero-Lunes-5:00 - 7:00 p. m.-45670-Inscrito Nuevo</v>
      </c>
      <c r="BH8" s="309"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0">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8" s="310"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0"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c r="H9" s="163" t="s">
        <v>104</v>
      </c>
      <c r="I9" s="28" t="s">
        <v>105</v>
      </c>
      <c r="J9" s="28" t="s">
        <v>106</v>
      </c>
      <c r="K9" s="69">
        <v>972074116</v>
      </c>
      <c r="L9" s="68" t="s">
        <v>107</v>
      </c>
      <c r="M9" s="46">
        <v>34420</v>
      </c>
      <c r="N9" s="238">
        <f ca="1">IF(Tabla1[[#This Row],[Fecha de nac]]="","",IF(Tabla1[[#This Row],[Fecha Finalización]] &gt;=TODAY(), DATEDIF(Tabla1[[#This Row],[Fecha de nac]],TODAY(),"y"), ROUNDDOWN((Tabla1[[#This Row],[Fecha Finalización]] -Tabla1[[#This Row],[Fecha de nac]])/365,0)))</f>
        <v>30</v>
      </c>
      <c r="O9" s="168" t="s">
        <v>80</v>
      </c>
      <c r="P9" s="72" t="s">
        <v>81</v>
      </c>
      <c r="Q9" s="73"/>
      <c r="R9" s="78"/>
      <c r="S9" s="78"/>
      <c r="T9" s="78"/>
      <c r="U9" s="240">
        <f>IF(F9="","",Tabla1[[#This Row],[Fecha Inicio grupo]]+3*7-7)</f>
        <v>45684</v>
      </c>
      <c r="V9" s="241">
        <f>IF(F9="","",EDATE(Tabla1[[#This Row],[Fecha Inicio grupo]],3))</f>
        <v>45760</v>
      </c>
      <c r="W9" s="34" t="s">
        <v>82</v>
      </c>
      <c r="X9" s="34" t="s">
        <v>82</v>
      </c>
      <c r="Y9" s="76" t="s">
        <v>83</v>
      </c>
      <c r="Z9" s="76" t="s">
        <v>83</v>
      </c>
      <c r="AA9" s="76" t="s">
        <v>83</v>
      </c>
      <c r="AB9" s="76" t="s">
        <v>83</v>
      </c>
      <c r="AC9" s="76" t="s">
        <v>83</v>
      </c>
      <c r="AD9" s="76" t="s">
        <v>84</v>
      </c>
      <c r="AE9" s="76" t="s">
        <v>83</v>
      </c>
      <c r="AF9" s="76" t="s">
        <v>83</v>
      </c>
      <c r="AG9" s="76" t="s">
        <v>83</v>
      </c>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t="s">
        <v>85</v>
      </c>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Huancayo - El Tambo-Enero-Lunes-5:00-7:00p.m.-45670</v>
      </c>
      <c r="BF9" s="251" t="str">
        <f>IF(F9="","",Tabla1[[#This Row],[Curso]])</f>
        <v>Oratoria y Filosofía</v>
      </c>
      <c r="BG9" s="252" t="str">
        <f>+IF(TRIM(F9)="","",$B$1&amp;"-"&amp;TRIM(Tabla1[[#This Row],[Mes Inscrito]])&amp;"-"&amp;TRIM(Tabla1[[#This Row],[Dia de clases Inscrito]])&amp;"-"&amp;TRIM(Tabla1[[#This Row],[Horario Inscrito]])&amp;"-"&amp;TRIM(Tabla1[[#This Row],[Fecha Inicio grupo]])&amp;"-"&amp;TRIM(Tabla1[[#This Row],[Tipo Incrito]]))</f>
        <v>Huancayo - El Tambo-Enero-Lunes-5:00 - 7:00 p. m.-45670-Inscrito Nuevo</v>
      </c>
      <c r="BH9" s="309"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0">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310"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0"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c r="H10" s="163" t="s">
        <v>108</v>
      </c>
      <c r="I10" s="28" t="s">
        <v>109</v>
      </c>
      <c r="J10" s="28" t="s">
        <v>110</v>
      </c>
      <c r="K10" s="69">
        <v>954077635</v>
      </c>
      <c r="L10" s="68" t="s">
        <v>111</v>
      </c>
      <c r="M10" s="46">
        <v>39355</v>
      </c>
      <c r="N10" s="238">
        <f ca="1">IF(Tabla1[[#This Row],[Fecha de nac]]="","",IF(Tabla1[[#This Row],[Fecha Finalización]] &gt;=TODAY(), DATEDIF(Tabla1[[#This Row],[Fecha de nac]],TODAY(),"y"), ROUNDDOWN((Tabla1[[#This Row],[Fecha Finalización]] -Tabla1[[#This Row],[Fecha de nac]])/365,0)))</f>
        <v>17</v>
      </c>
      <c r="O10" s="168" t="s">
        <v>80</v>
      </c>
      <c r="P10" s="72" t="s">
        <v>81</v>
      </c>
      <c r="Q10" s="73"/>
      <c r="R10" s="78"/>
      <c r="S10" s="78"/>
      <c r="T10" s="78"/>
      <c r="U10" s="240">
        <f>IF(F10="","",Tabla1[[#This Row],[Fecha Inicio grupo]]+3*7-7)</f>
        <v>45684</v>
      </c>
      <c r="V10" s="241">
        <f>IF(F10="","",EDATE(Tabla1[[#This Row],[Fecha Inicio grupo]],3))</f>
        <v>45760</v>
      </c>
      <c r="W10" s="34" t="s">
        <v>82</v>
      </c>
      <c r="X10" s="34" t="s">
        <v>82</v>
      </c>
      <c r="Y10" s="76" t="s">
        <v>83</v>
      </c>
      <c r="Z10" s="76" t="s">
        <v>83</v>
      </c>
      <c r="AA10" s="76" t="s">
        <v>83</v>
      </c>
      <c r="AB10" s="76" t="s">
        <v>83</v>
      </c>
      <c r="AC10" s="76" t="s">
        <v>84</v>
      </c>
      <c r="AD10" s="76" t="s">
        <v>83</v>
      </c>
      <c r="AE10" s="76" t="s">
        <v>83</v>
      </c>
      <c r="AF10" s="76" t="s">
        <v>84</v>
      </c>
      <c r="AG10" s="76" t="s">
        <v>84</v>
      </c>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t="s">
        <v>98</v>
      </c>
      <c r="BD10" s="233" t="str">
        <f>IF(F10="","",Tabla1[[#This Row],[sem 01]]&amp;Tabla1[[#This Row],[sem 02]]&amp;Tabla1[[#This Row],[sem 03]])</f>
        <v>PPP</v>
      </c>
      <c r="BE10" s="234" t="str">
        <f>IF(TRIM(F10)="","",$B$1&amp;"-"&amp;SUBSTITUTE(Tabla1[[#This Row],[Mes Inscrito]]," ","")&amp;"-"&amp;SUBSTITUTE(Tabla1[[#This Row],[Dia de clases Inscrito]]," ","")&amp;"-"&amp;SUBSTITUTE(Tabla1[[#This Row],[Horario Inscrito]]," ","")&amp;"-"&amp;Tabla1[[#This Row],[Fecha Inicio grupo]])</f>
        <v>Huancayo - El Tambo-Enero-Lunes-5:00-7:00p.m.-45670</v>
      </c>
      <c r="BF10" s="251" t="str">
        <f>IF(F10="","",Tabla1[[#This Row],[Curso]])</f>
        <v>Oratoria y Filosofía</v>
      </c>
      <c r="BG10" s="252" t="str">
        <f>+IF(TRIM(F10)="","",$B$1&amp;"-"&amp;TRIM(Tabla1[[#This Row],[Mes Inscrito]])&amp;"-"&amp;TRIM(Tabla1[[#This Row],[Dia de clases Inscrito]])&amp;"-"&amp;TRIM(Tabla1[[#This Row],[Horario Inscrito]])&amp;"-"&amp;TRIM(Tabla1[[#This Row],[Fecha Inicio grupo]])&amp;"-"&amp;TRIM(Tabla1[[#This Row],[Tipo Incrito]]))</f>
        <v>Huancayo - El Tambo-Enero-Lunes-5:00 - 7:00 p. m.-45670-Inscrito Nuevo</v>
      </c>
      <c r="BH10" s="309"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0">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310"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0"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c r="H11" s="163" t="s">
        <v>112</v>
      </c>
      <c r="I11" s="28" t="s">
        <v>113</v>
      </c>
      <c r="J11" s="28" t="s">
        <v>114</v>
      </c>
      <c r="K11" s="69">
        <v>952047053</v>
      </c>
      <c r="L11" s="68" t="s">
        <v>115</v>
      </c>
      <c r="M11" s="46">
        <v>37310</v>
      </c>
      <c r="N11" s="238">
        <f ca="1">IF(Tabla1[[#This Row],[Fecha de nac]]="","",IF(Tabla1[[#This Row],[Fecha Finalización]] &gt;=TODAY(), DATEDIF(Tabla1[[#This Row],[Fecha de nac]],TODAY(),"y"), ROUNDDOWN((Tabla1[[#This Row],[Fecha Finalización]] -Tabla1[[#This Row],[Fecha de nac]])/365,0)))</f>
        <v>23</v>
      </c>
      <c r="O11" s="168" t="s">
        <v>80</v>
      </c>
      <c r="P11" s="72" t="s">
        <v>81</v>
      </c>
      <c r="Q11" s="73"/>
      <c r="R11" s="78"/>
      <c r="S11" s="78"/>
      <c r="T11" s="78"/>
      <c r="U11" s="240">
        <f>IF(F11="","",Tabla1[[#This Row],[Fecha Inicio grupo]]+3*7-7)</f>
        <v>45684</v>
      </c>
      <c r="V11" s="241">
        <f>IF(F11="","",EDATE(Tabla1[[#This Row],[Fecha Inicio grupo]],3))</f>
        <v>45760</v>
      </c>
      <c r="W11" s="34" t="s">
        <v>82</v>
      </c>
      <c r="X11" s="34" t="s">
        <v>82</v>
      </c>
      <c r="Y11" s="76" t="s">
        <v>83</v>
      </c>
      <c r="Z11" s="76" t="s">
        <v>84</v>
      </c>
      <c r="AA11" s="76" t="s">
        <v>84</v>
      </c>
      <c r="AB11" s="76" t="s">
        <v>84</v>
      </c>
      <c r="AC11" s="76" t="s">
        <v>84</v>
      </c>
      <c r="AD11" s="76" t="s">
        <v>84</v>
      </c>
      <c r="AE11" s="76" t="s">
        <v>84</v>
      </c>
      <c r="AF11" s="76" t="s">
        <v>84</v>
      </c>
      <c r="AG11" s="76" t="s">
        <v>84</v>
      </c>
      <c r="AH11" s="76"/>
      <c r="AI11" s="76"/>
      <c r="AJ11" s="76"/>
      <c r="AK11" s="76"/>
      <c r="AL11" s="76"/>
      <c r="AM11" s="76"/>
      <c r="AN11" s="76"/>
      <c r="AO11" s="144"/>
      <c r="AP11" s="246" t="str">
        <f>IF(F11="","",IFERROR(VLOOKUP(SUBSTITUTE(SUBSTITUTE(Tabla1[[#This Row],[Uso Sistemas]],"T","P"),"N","F"),Parámetros!$M$2:$N$17,2,0),"Completar hasta 3ra sem. para evaluar a Probacionista"))</f>
        <v>No 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t="s">
        <v>85</v>
      </c>
      <c r="BD11" s="233" t="str">
        <f>IF(F11="","",Tabla1[[#This Row],[sem 01]]&amp;Tabla1[[#This Row],[sem 02]]&amp;Tabla1[[#This Row],[sem 03]])</f>
        <v>PFF</v>
      </c>
      <c r="BE11" s="234" t="str">
        <f>IF(TRIM(F11)="","",$B$1&amp;"-"&amp;SUBSTITUTE(Tabla1[[#This Row],[Mes Inscrito]]," ","")&amp;"-"&amp;SUBSTITUTE(Tabla1[[#This Row],[Dia de clases Inscrito]]," ","")&amp;"-"&amp;SUBSTITUTE(Tabla1[[#This Row],[Horario Inscrito]]," ","")&amp;"-"&amp;Tabla1[[#This Row],[Fecha Inicio grupo]])</f>
        <v>Huancayo - El Tambo-Enero-Lunes-5:00-7:00p.m.-45670</v>
      </c>
      <c r="BF11" s="251" t="str">
        <f>IF(F11="","",Tabla1[[#This Row],[Curso]])</f>
        <v>Oratoria y Filosofía</v>
      </c>
      <c r="BG11" s="252" t="str">
        <f>+IF(TRIM(F11)="","",$B$1&amp;"-"&amp;TRIM(Tabla1[[#This Row],[Mes Inscrito]])&amp;"-"&amp;TRIM(Tabla1[[#This Row],[Dia de clases Inscrito]])&amp;"-"&amp;TRIM(Tabla1[[#This Row],[Horario Inscrito]])&amp;"-"&amp;TRIM(Tabla1[[#This Row],[Fecha Inicio grupo]])&amp;"-"&amp;TRIM(Tabla1[[#This Row],[Tipo Incrito]]))</f>
        <v>Huancayo - El Tambo-Enero-Lunes-5:00 - 7:00 p. m.-45670-Inscrito Nuevo</v>
      </c>
      <c r="BH11" s="309"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0">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310"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0"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c r="H12" s="163" t="s">
        <v>116</v>
      </c>
      <c r="I12" s="28" t="s">
        <v>117</v>
      </c>
      <c r="J12" s="28" t="s">
        <v>118</v>
      </c>
      <c r="K12" s="69">
        <v>933048288</v>
      </c>
      <c r="L12" s="68" t="s">
        <v>119</v>
      </c>
      <c r="M12" s="46">
        <v>35777</v>
      </c>
      <c r="N12" s="238">
        <f ca="1">IF(Tabla1[[#This Row],[Fecha de nac]]="","",IF(Tabla1[[#This Row],[Fecha Finalización]] &gt;=TODAY(), DATEDIF(Tabla1[[#This Row],[Fecha de nac]],TODAY(),"y"), ROUNDDOWN((Tabla1[[#This Row],[Fecha Finalización]] -Tabla1[[#This Row],[Fecha de nac]])/365,0)))</f>
        <v>27</v>
      </c>
      <c r="O12" s="168" t="s">
        <v>80</v>
      </c>
      <c r="P12" s="72" t="s">
        <v>81</v>
      </c>
      <c r="Q12" s="73"/>
      <c r="R12" s="78"/>
      <c r="S12" s="78"/>
      <c r="T12" s="78"/>
      <c r="U12" s="240">
        <f>IF(F12="","",Tabla1[[#This Row],[Fecha Inicio grupo]]+3*7-7)</f>
        <v>45684</v>
      </c>
      <c r="V12" s="241">
        <f>IF(F12="","",EDATE(Tabla1[[#This Row],[Fecha Inicio grupo]],3))</f>
        <v>45760</v>
      </c>
      <c r="W12" s="34" t="s">
        <v>82</v>
      </c>
      <c r="X12" s="34" t="s">
        <v>82</v>
      </c>
      <c r="Y12" s="76" t="s">
        <v>120</v>
      </c>
      <c r="Z12" s="76" t="s">
        <v>83</v>
      </c>
      <c r="AA12" s="76" t="s">
        <v>83</v>
      </c>
      <c r="AB12" s="76" t="s">
        <v>84</v>
      </c>
      <c r="AC12" s="76" t="s">
        <v>83</v>
      </c>
      <c r="AD12" s="76" t="s">
        <v>83</v>
      </c>
      <c r="AE12" s="76" t="s">
        <v>83</v>
      </c>
      <c r="AF12" s="76" t="s">
        <v>83</v>
      </c>
      <c r="AG12" s="76" t="s">
        <v>84</v>
      </c>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t="s">
        <v>121</v>
      </c>
      <c r="BD12" s="233" t="str">
        <f>IF(F12="","",Tabla1[[#This Row],[sem 01]]&amp;Tabla1[[#This Row],[sem 02]]&amp;Tabla1[[#This Row],[sem 03]])</f>
        <v>NPP</v>
      </c>
      <c r="BE12" s="234" t="str">
        <f>IF(TRIM(F12)="","",$B$1&amp;"-"&amp;SUBSTITUTE(Tabla1[[#This Row],[Mes Inscrito]]," ","")&amp;"-"&amp;SUBSTITUTE(Tabla1[[#This Row],[Dia de clases Inscrito]]," ","")&amp;"-"&amp;SUBSTITUTE(Tabla1[[#This Row],[Horario Inscrito]]," ","")&amp;"-"&amp;Tabla1[[#This Row],[Fecha Inicio grupo]])</f>
        <v>Huancayo - El Tambo-Enero-Lunes-5:00-7:00p.m.-45670</v>
      </c>
      <c r="BF12" s="251" t="str">
        <f>IF(F12="","",Tabla1[[#This Row],[Curso]])</f>
        <v>Oratoria y Filosofía</v>
      </c>
      <c r="BG12" s="252" t="str">
        <f>+IF(TRIM(F12)="","",$B$1&amp;"-"&amp;TRIM(Tabla1[[#This Row],[Mes Inscrito]])&amp;"-"&amp;TRIM(Tabla1[[#This Row],[Dia de clases Inscrito]])&amp;"-"&amp;TRIM(Tabla1[[#This Row],[Horario Inscrito]])&amp;"-"&amp;TRIM(Tabla1[[#This Row],[Fecha Inicio grupo]])&amp;"-"&amp;TRIM(Tabla1[[#This Row],[Tipo Incrito]]))</f>
        <v>Huancayo - El Tambo-Enero-Lunes-5:00 - 7:00 p. m.-45670-Inscrito Nuevo</v>
      </c>
      <c r="BH12" s="309"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0">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2" s="310"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0"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45670</v>
      </c>
      <c r="G13" s="45"/>
      <c r="H13" s="163" t="s">
        <v>122</v>
      </c>
      <c r="I13" s="28" t="s">
        <v>123</v>
      </c>
      <c r="J13" s="28" t="s">
        <v>124</v>
      </c>
      <c r="K13" s="69">
        <v>924192729</v>
      </c>
      <c r="L13" s="68" t="s">
        <v>125</v>
      </c>
      <c r="M13" s="46">
        <v>38774</v>
      </c>
      <c r="N13" s="238">
        <f ca="1">IF(Tabla1[[#This Row],[Fecha de nac]]="","",IF(Tabla1[[#This Row],[Fecha Finalización]] &gt;=TODAY(), DATEDIF(Tabla1[[#This Row],[Fecha de nac]],TODAY(),"y"), ROUNDDOWN((Tabla1[[#This Row],[Fecha Finalización]] -Tabla1[[#This Row],[Fecha de nac]])/365,0)))</f>
        <v>19</v>
      </c>
      <c r="O13" s="168" t="s">
        <v>80</v>
      </c>
      <c r="P13" s="72" t="s">
        <v>81</v>
      </c>
      <c r="Q13" s="73"/>
      <c r="R13" s="78"/>
      <c r="S13" s="78"/>
      <c r="T13" s="78"/>
      <c r="U13" s="240">
        <f>IF(F13="","",Tabla1[[#This Row],[Fecha Inicio grupo]]+3*7-7)</f>
        <v>45684</v>
      </c>
      <c r="V13" s="241">
        <f>IF(F13="","",EDATE(Tabla1[[#This Row],[Fecha Inicio grupo]],3))</f>
        <v>45760</v>
      </c>
      <c r="W13" s="34" t="s">
        <v>82</v>
      </c>
      <c r="X13" s="34" t="s">
        <v>82</v>
      </c>
      <c r="Y13" s="76" t="s">
        <v>120</v>
      </c>
      <c r="Z13" s="76" t="s">
        <v>83</v>
      </c>
      <c r="AA13" s="76" t="s">
        <v>83</v>
      </c>
      <c r="AB13" s="76" t="s">
        <v>83</v>
      </c>
      <c r="AC13" s="76" t="s">
        <v>83</v>
      </c>
      <c r="AD13" s="76" t="s">
        <v>83</v>
      </c>
      <c r="AE13" s="76" t="s">
        <v>84</v>
      </c>
      <c r="AF13" s="76" t="s">
        <v>83</v>
      </c>
      <c r="AG13" s="76" t="s">
        <v>83</v>
      </c>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t="s">
        <v>85</v>
      </c>
      <c r="BD13" s="233" t="str">
        <f>IF(F13="","",Tabla1[[#This Row],[sem 01]]&amp;Tabla1[[#This Row],[sem 02]]&amp;Tabla1[[#This Row],[sem 03]])</f>
        <v>NPP</v>
      </c>
      <c r="BE13" s="234" t="str">
        <f>IF(TRIM(F13)="","",$B$1&amp;"-"&amp;SUBSTITUTE(Tabla1[[#This Row],[Mes Inscrito]]," ","")&amp;"-"&amp;SUBSTITUTE(Tabla1[[#This Row],[Dia de clases Inscrito]]," ","")&amp;"-"&amp;SUBSTITUTE(Tabla1[[#This Row],[Horario Inscrito]]," ","")&amp;"-"&amp;Tabla1[[#This Row],[Fecha Inicio grupo]])</f>
        <v>Huancayo - El Tambo-Enero-Lunes-5:00-7:00p.m.-45670</v>
      </c>
      <c r="BF13" s="251" t="str">
        <f>IF(F13="","",Tabla1[[#This Row],[Curso]])</f>
        <v>Oratoria y Filosofía</v>
      </c>
      <c r="BG13" s="252" t="str">
        <f>+IF(TRIM(F13)="","",$B$1&amp;"-"&amp;TRIM(Tabla1[[#This Row],[Mes Inscrito]])&amp;"-"&amp;TRIM(Tabla1[[#This Row],[Dia de clases Inscrito]])&amp;"-"&amp;TRIM(Tabla1[[#This Row],[Horario Inscrito]])&amp;"-"&amp;TRIM(Tabla1[[#This Row],[Fecha Inicio grupo]])&amp;"-"&amp;TRIM(Tabla1[[#This Row],[Tipo Incrito]]))</f>
        <v>Huancayo - El Tambo-Enero-Lunes-5:00 - 7:00 p. m.-45670-Inscrito Nuevo</v>
      </c>
      <c r="BH13" s="309"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0">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3" s="310"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0"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45670</v>
      </c>
      <c r="G14" s="45"/>
      <c r="H14" s="163" t="s">
        <v>126</v>
      </c>
      <c r="I14" s="28" t="s">
        <v>127</v>
      </c>
      <c r="J14" s="28" t="s">
        <v>128</v>
      </c>
      <c r="K14" s="69">
        <v>976634806</v>
      </c>
      <c r="L14" s="68" t="s">
        <v>129</v>
      </c>
      <c r="M14" s="260">
        <v>36202</v>
      </c>
      <c r="N14" s="238">
        <f ca="1">IF(Tabla1[[#This Row],[Fecha de nac]]="","",IF(Tabla1[[#This Row],[Fecha Finalización]] &gt;=TODAY(), DATEDIF(Tabla1[[#This Row],[Fecha de nac]],TODAY(),"y"), ROUNDDOWN((Tabla1[[#This Row],[Fecha Finalización]] -Tabla1[[#This Row],[Fecha de nac]])/365,0)))</f>
        <v>26</v>
      </c>
      <c r="O14" s="168" t="s">
        <v>80</v>
      </c>
      <c r="P14" s="72" t="s">
        <v>81</v>
      </c>
      <c r="Q14" s="73"/>
      <c r="R14" s="72"/>
      <c r="S14" s="79"/>
      <c r="T14" s="79"/>
      <c r="U14" s="240">
        <f>IF(F14="","",Tabla1[[#This Row],[Fecha Inicio grupo]]+3*7-7)</f>
        <v>45684</v>
      </c>
      <c r="V14" s="241">
        <f>IF(F14="","",EDATE(Tabla1[[#This Row],[Fecha Inicio grupo]],3))</f>
        <v>45760</v>
      </c>
      <c r="W14" s="34" t="s">
        <v>82</v>
      </c>
      <c r="X14" s="34" t="s">
        <v>82</v>
      </c>
      <c r="Y14" s="76" t="s">
        <v>84</v>
      </c>
      <c r="Z14" s="76" t="s">
        <v>84</v>
      </c>
      <c r="AA14" s="76" t="s">
        <v>83</v>
      </c>
      <c r="AB14" s="76" t="s">
        <v>84</v>
      </c>
      <c r="AC14" s="76" t="s">
        <v>84</v>
      </c>
      <c r="AD14" s="76" t="s">
        <v>84</v>
      </c>
      <c r="AE14" s="76" t="s">
        <v>84</v>
      </c>
      <c r="AF14" s="76" t="s">
        <v>84</v>
      </c>
      <c r="AG14" s="76" t="s">
        <v>84</v>
      </c>
      <c r="AH14" s="76"/>
      <c r="AI14" s="76"/>
      <c r="AJ14" s="76"/>
      <c r="AK14" s="76"/>
      <c r="AL14" s="76"/>
      <c r="AM14" s="76"/>
      <c r="AN14" s="76"/>
      <c r="AO14" s="144"/>
      <c r="AP14" s="246" t="str">
        <f>IF(F14="","",IFERROR(VLOOKUP(SUBSTITUTE(SUBSTITUTE(Tabla1[[#This Row],[Uso Sistemas]],"T","P"),"N","F"),Parámetros!$M$2:$N$17,2,0),"Completar hasta 3ra sem. para evaluar a Probacionista"))</f>
        <v>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t="s">
        <v>85</v>
      </c>
      <c r="BD14" s="233" t="str">
        <f>IF(F14="","",Tabla1[[#This Row],[sem 01]]&amp;Tabla1[[#This Row],[sem 02]]&amp;Tabla1[[#This Row],[sem 03]])</f>
        <v>FFP</v>
      </c>
      <c r="BE14" s="234" t="str">
        <f>IF(TRIM(F14)="","",$B$1&amp;"-"&amp;SUBSTITUTE(Tabla1[[#This Row],[Mes Inscrito]]," ","")&amp;"-"&amp;SUBSTITUTE(Tabla1[[#This Row],[Dia de clases Inscrito]]," ","")&amp;"-"&amp;SUBSTITUTE(Tabla1[[#This Row],[Horario Inscrito]]," ","")&amp;"-"&amp;Tabla1[[#This Row],[Fecha Inicio grupo]])</f>
        <v>Huancayo - El Tambo-Enero-Lunes-5:00-7:00p.m.-45670</v>
      </c>
      <c r="BF14" s="251" t="str">
        <f>IF(F14="","",Tabla1[[#This Row],[Curso]])</f>
        <v>Oratoria y Filosofía</v>
      </c>
      <c r="BG14" s="252" t="str">
        <f>+IF(TRIM(F14)="","",$B$1&amp;"-"&amp;TRIM(Tabla1[[#This Row],[Mes Inscrito]])&amp;"-"&amp;TRIM(Tabla1[[#This Row],[Dia de clases Inscrito]])&amp;"-"&amp;TRIM(Tabla1[[#This Row],[Horario Inscrito]])&amp;"-"&amp;TRIM(Tabla1[[#This Row],[Fecha Inicio grupo]])&amp;"-"&amp;TRIM(Tabla1[[#This Row],[Tipo Incrito]]))</f>
        <v>Huancayo - El Tambo-Enero-Lunes-5:00 - 7:00 p. m.-45670-Inscrito Nuevo</v>
      </c>
      <c r="BH14" s="309"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0">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4" s="310"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0" t="str">
        <f>IF(Tabla1[[#This Row],[Fecha Inicio grupo]]="","",IFERROR(VLOOKUP(Tabla1[[#This Row],[Mes de Alta como miembro]],Parámetros!$AM$2:$AN$16,2,0),"01/01/1900"))</f>
        <v>01/01/1900</v>
      </c>
    </row>
    <row r="15" spans="1:79" s="24" customFormat="1" ht="12">
      <c r="A15" s="68">
        <v>12</v>
      </c>
      <c r="B15" s="34" t="s">
        <v>72</v>
      </c>
      <c r="C15" s="34" t="s">
        <v>73</v>
      </c>
      <c r="D15" s="42" t="s">
        <v>74</v>
      </c>
      <c r="E15" s="42" t="s">
        <v>130</v>
      </c>
      <c r="F15" s="45">
        <v>45670</v>
      </c>
      <c r="G15" s="45"/>
      <c r="H15" s="163" t="s">
        <v>131</v>
      </c>
      <c r="I15" s="28" t="s">
        <v>132</v>
      </c>
      <c r="J15" s="28" t="s">
        <v>133</v>
      </c>
      <c r="K15" s="69">
        <v>901611944</v>
      </c>
      <c r="L15" s="68" t="s">
        <v>134</v>
      </c>
      <c r="M15" s="46">
        <v>37552</v>
      </c>
      <c r="N15" s="238">
        <f ca="1">IF(Tabla1[[#This Row],[Fecha de nac]]="","",IF(Tabla1[[#This Row],[Fecha Finalización]] &gt;=TODAY(), DATEDIF(Tabla1[[#This Row],[Fecha de nac]],TODAY(),"y"), ROUNDDOWN((Tabla1[[#This Row],[Fecha Finalización]] -Tabla1[[#This Row],[Fecha de nac]])/365,0)))</f>
        <v>22</v>
      </c>
      <c r="O15" s="168" t="s">
        <v>80</v>
      </c>
      <c r="P15" s="72" t="s">
        <v>135</v>
      </c>
      <c r="Q15" s="73">
        <v>45670</v>
      </c>
      <c r="R15" s="72" t="s">
        <v>136</v>
      </c>
      <c r="S15" s="79" t="s">
        <v>137</v>
      </c>
      <c r="T15" s="79" t="s">
        <v>138</v>
      </c>
      <c r="U15" s="240">
        <f>IF(F15="","",Tabla1[[#This Row],[Fecha Inicio grupo]]+3*7-7)</f>
        <v>45684</v>
      </c>
      <c r="V15" s="241">
        <f>IF(F15="","",EDATE(Tabla1[[#This Row],[Fecha Inicio grupo]],3))</f>
        <v>45760</v>
      </c>
      <c r="W15" s="34" t="s">
        <v>139</v>
      </c>
      <c r="X15" s="34" t="s">
        <v>139</v>
      </c>
      <c r="Y15" s="76" t="s">
        <v>83</v>
      </c>
      <c r="Z15" s="76" t="s">
        <v>83</v>
      </c>
      <c r="AA15" s="76" t="s">
        <v>83</v>
      </c>
      <c r="AB15" s="76" t="s">
        <v>83</v>
      </c>
      <c r="AC15" s="76" t="s">
        <v>84</v>
      </c>
      <c r="AD15" s="76" t="s">
        <v>84</v>
      </c>
      <c r="AE15" s="76" t="s">
        <v>140</v>
      </c>
      <c r="AF15" s="76" t="s">
        <v>140</v>
      </c>
      <c r="AG15" s="76" t="s">
        <v>140</v>
      </c>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t="s">
        <v>85</v>
      </c>
      <c r="BD15" s="233" t="str">
        <f>IF(F15="","",Tabla1[[#This Row],[sem 01]]&amp;Tabla1[[#This Row],[sem 02]]&amp;Tabla1[[#This Row],[sem 03]])</f>
        <v>PPP</v>
      </c>
      <c r="BE15" s="234" t="str">
        <f>IF(TRIM(F15)="","",$B$1&amp;"-"&amp;SUBSTITUTE(Tabla1[[#This Row],[Mes Inscrito]]," ","")&amp;"-"&amp;SUBSTITUTE(Tabla1[[#This Row],[Dia de clases Inscrito]]," ","")&amp;"-"&amp;SUBSTITUTE(Tabla1[[#This Row],[Horario Inscrito]]," ","")&amp;"-"&amp;Tabla1[[#This Row],[Fecha Inicio grupo]])</f>
        <v>Huancayo - El Tambo-Enero-Lunes-7:00-9:00p.m.-45670</v>
      </c>
      <c r="BF15" s="251" t="str">
        <f>IF(F15="","",Tabla1[[#This Row],[Curso]])</f>
        <v>Oratoria y Filosofía</v>
      </c>
      <c r="BG15" s="252" t="str">
        <f>+IF(TRIM(F15)="","",$B$1&amp;"-"&amp;TRIM(Tabla1[[#This Row],[Mes Inscrito]])&amp;"-"&amp;TRIM(Tabla1[[#This Row],[Dia de clases Inscrito]])&amp;"-"&amp;TRIM(Tabla1[[#This Row],[Horario Inscrito]])&amp;"-"&amp;TRIM(Tabla1[[#This Row],[Fecha Inicio grupo]])&amp;"-"&amp;TRIM(Tabla1[[#This Row],[Tipo Incrito]]))</f>
        <v>Huancayo - El Tambo-Enero-Lunes-7:00 - 9:00 p. m.-45670-Recuperado otro año</v>
      </c>
      <c r="BH15" s="309"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0">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5" s="310"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0" t="str">
        <f>IF(Tabla1[[#This Row],[Fecha Inicio grupo]]="","",IFERROR(VLOOKUP(Tabla1[[#This Row],[Mes de Alta como miembro]],Parámetros!$AM$2:$AN$16,2,0),"01/01/1900"))</f>
        <v>01/01/1900</v>
      </c>
    </row>
    <row r="16" spans="1:79" s="24" customFormat="1" ht="12">
      <c r="A16" s="68">
        <v>13</v>
      </c>
      <c r="B16" s="34" t="s">
        <v>72</v>
      </c>
      <c r="C16" s="34" t="s">
        <v>73</v>
      </c>
      <c r="D16" s="42" t="s">
        <v>74</v>
      </c>
      <c r="E16" s="42" t="s">
        <v>130</v>
      </c>
      <c r="F16" s="45">
        <v>45670</v>
      </c>
      <c r="G16" s="45"/>
      <c r="H16" s="163" t="s">
        <v>141</v>
      </c>
      <c r="I16" s="28" t="s">
        <v>142</v>
      </c>
      <c r="J16" s="28" t="s">
        <v>143</v>
      </c>
      <c r="K16" s="69">
        <v>996689953</v>
      </c>
      <c r="L16" s="68" t="s">
        <v>144</v>
      </c>
      <c r="M16" s="46">
        <v>40157</v>
      </c>
      <c r="N16" s="238">
        <f ca="1">IF(Tabla1[[#This Row],[Fecha de nac]]="","",IF(Tabla1[[#This Row],[Fecha Finalización]] &gt;=TODAY(), DATEDIF(Tabla1[[#This Row],[Fecha de nac]],TODAY(),"y"), ROUNDDOWN((Tabla1[[#This Row],[Fecha Finalización]] -Tabla1[[#This Row],[Fecha de nac]])/365,0)))</f>
        <v>15</v>
      </c>
      <c r="O16" s="168" t="s">
        <v>80</v>
      </c>
      <c r="P16" s="72" t="s">
        <v>81</v>
      </c>
      <c r="Q16" s="73"/>
      <c r="R16" s="72"/>
      <c r="S16" s="79"/>
      <c r="T16" s="79"/>
      <c r="U16" s="240">
        <f>IF(F16="","",Tabla1[[#This Row],[Fecha Inicio grupo]]+3*7-7)</f>
        <v>45684</v>
      </c>
      <c r="V16" s="241">
        <f>IF(F16="","",EDATE(Tabla1[[#This Row],[Fecha Inicio grupo]],3))</f>
        <v>45760</v>
      </c>
      <c r="W16" s="34" t="s">
        <v>139</v>
      </c>
      <c r="X16" s="34" t="s">
        <v>139</v>
      </c>
      <c r="Y16" s="76" t="s">
        <v>83</v>
      </c>
      <c r="Z16" s="76" t="s">
        <v>83</v>
      </c>
      <c r="AA16" s="76" t="s">
        <v>83</v>
      </c>
      <c r="AB16" s="76" t="s">
        <v>83</v>
      </c>
      <c r="AC16" s="76" t="s">
        <v>84</v>
      </c>
      <c r="AD16" s="76" t="s">
        <v>83</v>
      </c>
      <c r="AE16" s="76" t="s">
        <v>83</v>
      </c>
      <c r="AF16" s="76" t="s">
        <v>140</v>
      </c>
      <c r="AG16" s="76" t="s">
        <v>140</v>
      </c>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t="s">
        <v>85</v>
      </c>
      <c r="BD16" s="233" t="str">
        <f>IF(F16="","",Tabla1[[#This Row],[sem 01]]&amp;Tabla1[[#This Row],[sem 02]]&amp;Tabla1[[#This Row],[sem 03]])</f>
        <v>PPP</v>
      </c>
      <c r="BE16" s="234" t="str">
        <f>IF(TRIM(F16)="","",$B$1&amp;"-"&amp;SUBSTITUTE(Tabla1[[#This Row],[Mes Inscrito]]," ","")&amp;"-"&amp;SUBSTITUTE(Tabla1[[#This Row],[Dia de clases Inscrito]]," ","")&amp;"-"&amp;SUBSTITUTE(Tabla1[[#This Row],[Horario Inscrito]]," ","")&amp;"-"&amp;Tabla1[[#This Row],[Fecha Inicio grupo]])</f>
        <v>Huancayo - El Tambo-Enero-Lunes-7:00-9:00p.m.-45670</v>
      </c>
      <c r="BF16" s="251" t="str">
        <f>IF(F16="","",Tabla1[[#This Row],[Curso]])</f>
        <v>Oratoria y Filosofía</v>
      </c>
      <c r="BG16" s="252" t="str">
        <f>+IF(TRIM(F16)="","",$B$1&amp;"-"&amp;TRIM(Tabla1[[#This Row],[Mes Inscrito]])&amp;"-"&amp;TRIM(Tabla1[[#This Row],[Dia de clases Inscrito]])&amp;"-"&amp;TRIM(Tabla1[[#This Row],[Horario Inscrito]])&amp;"-"&amp;TRIM(Tabla1[[#This Row],[Fecha Inicio grupo]])&amp;"-"&amp;TRIM(Tabla1[[#This Row],[Tipo Incrito]]))</f>
        <v>Huancayo - El Tambo-Enero-Lunes-7:00 - 9:00 p. m.-45670-Inscrito Nuevo</v>
      </c>
      <c r="BH16" s="309"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10">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6" s="310"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10" t="str">
        <f>IF(Tabla1[[#This Row],[Fecha Inicio grupo]]="","",IFERROR(VLOOKUP(Tabla1[[#This Row],[Mes de Alta como miembro]],Parámetros!$AM$2:$AN$16,2,0),"01/01/1900"))</f>
        <v>01/01/1900</v>
      </c>
    </row>
    <row r="17" spans="1:63" s="24" customFormat="1" ht="12">
      <c r="A17" s="68">
        <v>14</v>
      </c>
      <c r="B17" s="34" t="s">
        <v>72</v>
      </c>
      <c r="C17" s="34" t="s">
        <v>73</v>
      </c>
      <c r="D17" s="42" t="s">
        <v>74</v>
      </c>
      <c r="E17" s="42" t="s">
        <v>130</v>
      </c>
      <c r="F17" s="45">
        <v>45670</v>
      </c>
      <c r="G17" s="45"/>
      <c r="H17" s="163" t="s">
        <v>145</v>
      </c>
      <c r="I17" s="28" t="s">
        <v>146</v>
      </c>
      <c r="J17" s="28" t="s">
        <v>147</v>
      </c>
      <c r="K17" s="69">
        <v>962427790</v>
      </c>
      <c r="L17" s="68"/>
      <c r="M17" s="46"/>
      <c r="N17" s="238" t="str">
        <f ca="1">IF(Tabla1[[#This Row],[Fecha de nac]]="","",IF(Tabla1[[#This Row],[Fecha Finalización]] &gt;=TODAY(), DATEDIF(Tabla1[[#This Row],[Fecha de nac]],TODAY(),"y"), ROUNDDOWN((Tabla1[[#This Row],[Fecha Finalización]] -Tabla1[[#This Row],[Fecha de nac]])/365,0)))</f>
        <v/>
      </c>
      <c r="O17" s="168" t="s">
        <v>80</v>
      </c>
      <c r="P17" s="72" t="s">
        <v>81</v>
      </c>
      <c r="Q17" s="73"/>
      <c r="R17" s="78"/>
      <c r="S17" s="78"/>
      <c r="T17" s="78"/>
      <c r="U17" s="240">
        <f>IF(F17="","",Tabla1[[#This Row],[Fecha Inicio grupo]]+3*7-7)</f>
        <v>45684</v>
      </c>
      <c r="V17" s="241">
        <f>IF(F17="","",EDATE(Tabla1[[#This Row],[Fecha Inicio grupo]],3))</f>
        <v>45760</v>
      </c>
      <c r="W17" s="34" t="s">
        <v>139</v>
      </c>
      <c r="X17" s="34" t="s">
        <v>139</v>
      </c>
      <c r="Y17" s="76" t="s">
        <v>83</v>
      </c>
      <c r="Z17" s="76" t="s">
        <v>83</v>
      </c>
      <c r="AA17" s="76" t="s">
        <v>83</v>
      </c>
      <c r="AB17" s="76" t="s">
        <v>83</v>
      </c>
      <c r="AC17" s="76" t="s">
        <v>140</v>
      </c>
      <c r="AD17" s="76" t="s">
        <v>140</v>
      </c>
      <c r="AE17" s="76" t="s">
        <v>140</v>
      </c>
      <c r="AF17" s="76" t="s">
        <v>140</v>
      </c>
      <c r="AG17" s="76" t="s">
        <v>140</v>
      </c>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t="s">
        <v>98</v>
      </c>
      <c r="BD17" s="233" t="str">
        <f>IF(F17="","",Tabla1[[#This Row],[sem 01]]&amp;Tabla1[[#This Row],[sem 02]]&amp;Tabla1[[#This Row],[sem 03]])</f>
        <v>PPP</v>
      </c>
      <c r="BE17" s="234" t="str">
        <f>IF(TRIM(F17)="","",$B$1&amp;"-"&amp;SUBSTITUTE(Tabla1[[#This Row],[Mes Inscrito]]," ","")&amp;"-"&amp;SUBSTITUTE(Tabla1[[#This Row],[Dia de clases Inscrito]]," ","")&amp;"-"&amp;SUBSTITUTE(Tabla1[[#This Row],[Horario Inscrito]]," ","")&amp;"-"&amp;Tabla1[[#This Row],[Fecha Inicio grupo]])</f>
        <v>Huancayo - El Tambo-Enero-Lunes-7:00-9:00p.m.-45670</v>
      </c>
      <c r="BF17" s="251" t="str">
        <f>IF(F17="","",Tabla1[[#This Row],[Curso]])</f>
        <v>Oratoria y Filosofía</v>
      </c>
      <c r="BG17" s="252" t="str">
        <f>+IF(TRIM(F17)="","",$B$1&amp;"-"&amp;TRIM(Tabla1[[#This Row],[Mes Inscrito]])&amp;"-"&amp;TRIM(Tabla1[[#This Row],[Dia de clases Inscrito]])&amp;"-"&amp;TRIM(Tabla1[[#This Row],[Horario Inscrito]])&amp;"-"&amp;TRIM(Tabla1[[#This Row],[Fecha Inicio grupo]])&amp;"-"&amp;TRIM(Tabla1[[#This Row],[Tipo Incrito]]))</f>
        <v>Huancayo - El Tambo-Enero-Lunes-7:00 - 9:00 p. m.-45670-Inscrito Nuevo</v>
      </c>
      <c r="BH17" s="309"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10">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7" s="310"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10" t="str">
        <f>IF(Tabla1[[#This Row],[Fecha Inicio grupo]]="","",IFERROR(VLOOKUP(Tabla1[[#This Row],[Mes de Alta como miembro]],Parámetros!$AM$2:$AN$16,2,0),"01/01/1900"))</f>
        <v>01/01/1900</v>
      </c>
    </row>
    <row r="18" spans="1:63" s="24" customFormat="1" ht="12">
      <c r="A18" s="68">
        <v>15</v>
      </c>
      <c r="B18" s="28" t="s">
        <v>72</v>
      </c>
      <c r="C18" s="34" t="s">
        <v>73</v>
      </c>
      <c r="D18" s="42" t="s">
        <v>74</v>
      </c>
      <c r="E18" s="42" t="s">
        <v>130</v>
      </c>
      <c r="F18" s="45">
        <v>45670</v>
      </c>
      <c r="G18" s="45"/>
      <c r="H18" s="163" t="s">
        <v>148</v>
      </c>
      <c r="I18" s="28" t="s">
        <v>149</v>
      </c>
      <c r="J18" s="28" t="s">
        <v>150</v>
      </c>
      <c r="K18" s="69">
        <v>999555171</v>
      </c>
      <c r="L18" s="68" t="s">
        <v>151</v>
      </c>
      <c r="M18" s="46">
        <v>31075</v>
      </c>
      <c r="N18" s="238">
        <f ca="1">IF(Tabla1[[#This Row],[Fecha de nac]]="","",IF(Tabla1[[#This Row],[Fecha Finalización]] &gt;=TODAY(), DATEDIF(Tabla1[[#This Row],[Fecha de nac]],TODAY(),"y"), ROUNDDOWN((Tabla1[[#This Row],[Fecha Finalización]] -Tabla1[[#This Row],[Fecha de nac]])/365,0)))</f>
        <v>40</v>
      </c>
      <c r="O18" s="168" t="s">
        <v>80</v>
      </c>
      <c r="P18" s="72" t="s">
        <v>135</v>
      </c>
      <c r="Q18" s="73">
        <v>45677</v>
      </c>
      <c r="R18" s="72" t="s">
        <v>152</v>
      </c>
      <c r="S18" s="79" t="s">
        <v>74</v>
      </c>
      <c r="T18" s="79" t="s">
        <v>153</v>
      </c>
      <c r="U18" s="240">
        <f>IF(F18="","",Tabla1[[#This Row],[Fecha Inicio grupo]]+3*7-7)</f>
        <v>45684</v>
      </c>
      <c r="V18" s="241">
        <f>IF(F18="","",EDATE(Tabla1[[#This Row],[Fecha Inicio grupo]],3))</f>
        <v>45760</v>
      </c>
      <c r="W18" s="28" t="s">
        <v>139</v>
      </c>
      <c r="X18" s="34" t="s">
        <v>139</v>
      </c>
      <c r="Y18" s="76" t="s">
        <v>120</v>
      </c>
      <c r="Z18" s="76" t="s">
        <v>84</v>
      </c>
      <c r="AA18" s="76" t="s">
        <v>83</v>
      </c>
      <c r="AB18" s="76" t="s">
        <v>83</v>
      </c>
      <c r="AC18" s="76" t="s">
        <v>83</v>
      </c>
      <c r="AD18" s="76" t="s">
        <v>83</v>
      </c>
      <c r="AE18" s="76" t="s">
        <v>83</v>
      </c>
      <c r="AF18" s="76" t="s">
        <v>83</v>
      </c>
      <c r="AG18" s="76" t="s">
        <v>84</v>
      </c>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39"/>
      <c r="AR18" s="200"/>
      <c r="AS18" s="39"/>
      <c r="AT18" s="28"/>
      <c r="AU18" s="54"/>
      <c r="AV18" s="54"/>
      <c r="AW18" s="54"/>
      <c r="AX18" s="247">
        <f>IF(V18="","",EOMONTH(EDATE(Tabla1[[#This Row],[Fecha Finalización]],2),0))</f>
        <v>45838</v>
      </c>
      <c r="AY18" s="39"/>
      <c r="AZ18" s="249">
        <f>IF(V18="","",EOMONTH(EDATE(Tabla1[[#This Row],[Fecha Finalización]],3),0))</f>
        <v>45869</v>
      </c>
      <c r="BA18" s="39"/>
      <c r="BB18" s="39"/>
      <c r="BC18" s="235" t="s">
        <v>85</v>
      </c>
      <c r="BD18" s="233" t="str">
        <f>IF(F18="","",Tabla1[[#This Row],[sem 01]]&amp;Tabla1[[#This Row],[sem 02]]&amp;Tabla1[[#This Row],[sem 03]])</f>
        <v>NFP</v>
      </c>
      <c r="BE18" s="234" t="str">
        <f>IF(TRIM(F18)="","",$B$1&amp;"-"&amp;SUBSTITUTE(Tabla1[[#This Row],[Mes Inscrito]]," ","")&amp;"-"&amp;SUBSTITUTE(Tabla1[[#This Row],[Dia de clases Inscrito]]," ","")&amp;"-"&amp;SUBSTITUTE(Tabla1[[#This Row],[Horario Inscrito]]," ","")&amp;"-"&amp;Tabla1[[#This Row],[Fecha Inicio grupo]])</f>
        <v>Huancayo - El Tambo-Enero-Lunes-7:00-9:00p.m.-45670</v>
      </c>
      <c r="BF18" s="251" t="str">
        <f>IF(F18="","",Tabla1[[#This Row],[Curso]])</f>
        <v>Oratoria y Filosofía</v>
      </c>
      <c r="BG18" s="252" t="str">
        <f>+IF(TRIM(F18)="","",$B$1&amp;"-"&amp;TRIM(Tabla1[[#This Row],[Mes Inscrito]])&amp;"-"&amp;TRIM(Tabla1[[#This Row],[Dia de clases Inscrito]])&amp;"-"&amp;TRIM(Tabla1[[#This Row],[Horario Inscrito]])&amp;"-"&amp;TRIM(Tabla1[[#This Row],[Fecha Inicio grupo]])&amp;"-"&amp;TRIM(Tabla1[[#This Row],[Tipo Incrito]]))</f>
        <v>Huancayo - El Tambo-Enero-Lunes-7:00 - 9:00 p. m.-45670-Recuperado otro año</v>
      </c>
      <c r="BH18" s="309"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10">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8" s="310"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10" t="str">
        <f>IF(Tabla1[[#This Row],[Fecha Inicio grupo]]="","",IFERROR(VLOOKUP(Tabla1[[#This Row],[Mes de Alta como miembro]],Parámetros!$AM$2:$AN$16,2,0),"01/01/1900"))</f>
        <v>01/01/1900</v>
      </c>
    </row>
    <row r="19" spans="1:63" s="24" customFormat="1" ht="13.9">
      <c r="A19" s="68">
        <v>16</v>
      </c>
      <c r="B19" s="28" t="s">
        <v>72</v>
      </c>
      <c r="C19" s="34" t="s">
        <v>154</v>
      </c>
      <c r="D19" s="42" t="s">
        <v>155</v>
      </c>
      <c r="E19" s="42" t="s">
        <v>130</v>
      </c>
      <c r="F19" s="45">
        <v>45693</v>
      </c>
      <c r="G19" s="45"/>
      <c r="H19" s="163" t="s">
        <v>156</v>
      </c>
      <c r="I19" s="28" t="s">
        <v>157</v>
      </c>
      <c r="J19" s="28" t="s">
        <v>158</v>
      </c>
      <c r="K19" s="69">
        <v>959140808</v>
      </c>
      <c r="L19" s="68" t="s">
        <v>159</v>
      </c>
      <c r="M19" s="46">
        <v>35758</v>
      </c>
      <c r="N19" s="238">
        <f ca="1">IF(Tabla1[[#This Row],[Fecha de nac]]="","",IF(Tabla1[[#This Row],[Fecha Finalización]] &gt;=TODAY(), DATEDIF(Tabla1[[#This Row],[Fecha de nac]],TODAY(),"y"), ROUNDDOWN((Tabla1[[#This Row],[Fecha Finalización]] -Tabla1[[#This Row],[Fecha de nac]])/365,0)))</f>
        <v>27</v>
      </c>
      <c r="O19" s="168"/>
      <c r="P19" s="72" t="s">
        <v>81</v>
      </c>
      <c r="Q19" s="73"/>
      <c r="R19" s="72"/>
      <c r="S19" s="79"/>
      <c r="T19" s="79"/>
      <c r="U19" s="242">
        <f>IF(F19="","",Tabla1[[#This Row],[Fecha Inicio grupo]]+3*7-7)</f>
        <v>45707</v>
      </c>
      <c r="V19" s="241">
        <f>IF(F19="","",EDATE(Tabla1[[#This Row],[Fecha Inicio grupo]],3))</f>
        <v>45782</v>
      </c>
      <c r="W19" s="28" t="s">
        <v>139</v>
      </c>
      <c r="X19" s="28" t="s">
        <v>139</v>
      </c>
      <c r="Y19" s="76" t="s">
        <v>84</v>
      </c>
      <c r="Z19" s="76" t="s">
        <v>83</v>
      </c>
      <c r="AA19" s="76" t="s">
        <v>83</v>
      </c>
      <c r="AB19" s="76" t="s">
        <v>83</v>
      </c>
      <c r="AC19" s="76" t="s">
        <v>84</v>
      </c>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Asistió</v>
      </c>
      <c r="AQ19" s="39"/>
      <c r="AR19" s="200"/>
      <c r="AS19" s="39"/>
      <c r="AT19" s="28"/>
      <c r="AU19" s="55"/>
      <c r="AV19" s="55"/>
      <c r="AW19" s="55"/>
      <c r="AX19" s="248">
        <f>IF(V19="","",EOMONTH(EDATE(Tabla1[[#This Row],[Fecha Finalización]],2),0))</f>
        <v>45869</v>
      </c>
      <c r="AY19" s="39"/>
      <c r="AZ19" s="249">
        <f>IF(V19="","",EOMONTH(EDATE(Tabla1[[#This Row],[Fecha Finalización]],3),0))</f>
        <v>45900</v>
      </c>
      <c r="BA19" s="39"/>
      <c r="BB19" s="39"/>
      <c r="BC19" s="235" t="s">
        <v>85</v>
      </c>
      <c r="BD19" s="233" t="str">
        <f>IF(F19="","",Tabla1[[#This Row],[sem 01]]&amp;Tabla1[[#This Row],[sem 02]]&amp;Tabla1[[#This Row],[sem 03]])</f>
        <v>FPP</v>
      </c>
      <c r="BE19" s="234" t="str">
        <f>IF(TRIM(F19)="","",$B$1&amp;"-"&amp;SUBSTITUTE(Tabla1[[#This Row],[Mes Inscrito]]," ","")&amp;"-"&amp;SUBSTITUTE(Tabla1[[#This Row],[Dia de clases Inscrito]]," ","")&amp;"-"&amp;SUBSTITUTE(Tabla1[[#This Row],[Horario Inscrito]]," ","")&amp;"-"&amp;Tabla1[[#This Row],[Fecha Inicio grupo]])</f>
        <v>Huancayo - El Tambo-Febrero-Miércoles-7:00-9:00p.m.-45693</v>
      </c>
      <c r="BF19" s="251" t="str">
        <f>IF(F19="","",Tabla1[[#This Row],[Curso]])</f>
        <v>Oratoria y Filosofía</v>
      </c>
      <c r="BG19" s="252" t="str">
        <f>+IF(TRIM(F19)="","",$B$1&amp;"-"&amp;TRIM(Tabla1[[#This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19" s="309"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0">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9" s="310"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0" t="str">
        <f>IF(Tabla1[[#This Row],[Fecha Inicio grupo]]="","",IFERROR(VLOOKUP(Tabla1[[#This Row],[Mes de Alta como miembro]],Parámetros!$AM$2:$AN$16,2,0),"01/01/1900"))</f>
        <v>01/01/1900</v>
      </c>
    </row>
    <row r="20" spans="1:63" s="24" customFormat="1" ht="12.75">
      <c r="A20" s="68">
        <v>17</v>
      </c>
      <c r="B20" s="28" t="s">
        <v>72</v>
      </c>
      <c r="C20" s="34" t="s">
        <v>154</v>
      </c>
      <c r="D20" s="42" t="s">
        <v>155</v>
      </c>
      <c r="E20" s="42" t="s">
        <v>130</v>
      </c>
      <c r="F20" s="45">
        <v>45693</v>
      </c>
      <c r="G20" s="45"/>
      <c r="H20" s="163" t="s">
        <v>160</v>
      </c>
      <c r="I20" s="28" t="s">
        <v>161</v>
      </c>
      <c r="J20" s="28" t="s">
        <v>162</v>
      </c>
      <c r="K20" s="69">
        <v>906868340</v>
      </c>
      <c r="L20" s="68" t="s">
        <v>163</v>
      </c>
      <c r="M20" s="46">
        <v>35453</v>
      </c>
      <c r="N20" s="238">
        <f ca="1">IF(Tabla1[[#This Row],[Fecha de nac]]="","",IF(Tabla1[[#This Row],[Fecha Finalización]] &gt;=TODAY(), DATEDIF(Tabla1[[#This Row],[Fecha de nac]],TODAY(),"y"), ROUNDDOWN((Tabla1[[#This Row],[Fecha Finalización]] -Tabla1[[#This Row],[Fecha de nac]])/365,0)))</f>
        <v>28</v>
      </c>
      <c r="O20" s="168"/>
      <c r="P20" s="72" t="s">
        <v>81</v>
      </c>
      <c r="Q20" s="73"/>
      <c r="R20" s="78"/>
      <c r="S20" s="78"/>
      <c r="T20" s="78"/>
      <c r="U20" s="242">
        <f>IF(F20="","",Tabla1[[#This Row],[Fecha Inicio grupo]]+3*7-7)</f>
        <v>45707</v>
      </c>
      <c r="V20" s="241">
        <f>IF(F20="","",EDATE(Tabla1[[#This Row],[Fecha Inicio grupo]],3))</f>
        <v>45782</v>
      </c>
      <c r="W20" s="28" t="s">
        <v>139</v>
      </c>
      <c r="X20" s="28" t="s">
        <v>139</v>
      </c>
      <c r="Y20" s="76" t="s">
        <v>83</v>
      </c>
      <c r="Z20" s="76" t="s">
        <v>83</v>
      </c>
      <c r="AA20" s="76" t="s">
        <v>84</v>
      </c>
      <c r="AB20" s="76" t="s">
        <v>84</v>
      </c>
      <c r="AC20" s="76" t="s">
        <v>84</v>
      </c>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Asistió</v>
      </c>
      <c r="AQ20" s="39"/>
      <c r="AR20" s="200"/>
      <c r="AS20" s="39"/>
      <c r="AT20" s="28"/>
      <c r="AU20" s="55"/>
      <c r="AV20" s="55"/>
      <c r="AW20" s="55"/>
      <c r="AX20" s="248">
        <f>IF(V20="","",EOMONTH(EDATE(Tabla1[[#This Row],[Fecha Finalización]],2),0))</f>
        <v>45869</v>
      </c>
      <c r="AY20" s="39"/>
      <c r="AZ20" s="249">
        <f>IF(V20="","",EOMONTH(EDATE(Tabla1[[#This Row],[Fecha Finalización]],3),0))</f>
        <v>45900</v>
      </c>
      <c r="BA20" s="39"/>
      <c r="BB20" s="39"/>
      <c r="BC20" s="235" t="s">
        <v>98</v>
      </c>
      <c r="BD20" s="233" t="str">
        <f>IF(F20="","",Tabla1[[#This Row],[sem 01]]&amp;Tabla1[[#This Row],[sem 02]]&amp;Tabla1[[#This Row],[sem 03]])</f>
        <v>PPF</v>
      </c>
      <c r="BE20" s="234" t="str">
        <f>IF(TRIM(F20)="","",$B$1&amp;"-"&amp;SUBSTITUTE(Tabla1[[#This Row],[Mes Inscrito]]," ","")&amp;"-"&amp;SUBSTITUTE(Tabla1[[#This Row],[Dia de clases Inscrito]]," ","")&amp;"-"&amp;SUBSTITUTE(Tabla1[[#This Row],[Horario Inscrito]]," ","")&amp;"-"&amp;Tabla1[[#This Row],[Fecha Inicio grupo]])</f>
        <v>Huancayo - El Tambo-Febrero-Miércoles-7:00-9:00p.m.-45693</v>
      </c>
      <c r="BF20" s="251" t="str">
        <f>IF(F20="","",Tabla1[[#This Row],[Curso]])</f>
        <v>Oratoria y Filosofía</v>
      </c>
      <c r="BG20" s="252" t="str">
        <f>+IF(TRIM(F20)="","",$B$1&amp;"-"&amp;TRIM(Tabla1[[#This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20" s="309"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0">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0" s="310"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10" t="str">
        <f>IF(Tabla1[[#This Row],[Fecha Inicio grupo]]="","",IFERROR(VLOOKUP(Tabla1[[#This Row],[Mes de Alta como miembro]],Parámetros!$AM$2:$AN$16,2,0),"01/01/1900"))</f>
        <v>01/01/1900</v>
      </c>
    </row>
    <row r="21" spans="1:63" s="24" customFormat="1" ht="12.75">
      <c r="A21" s="68">
        <v>18</v>
      </c>
      <c r="B21" s="28" t="s">
        <v>72</v>
      </c>
      <c r="C21" s="34" t="s">
        <v>154</v>
      </c>
      <c r="D21" s="42" t="s">
        <v>155</v>
      </c>
      <c r="E21" s="42" t="s">
        <v>130</v>
      </c>
      <c r="F21" s="45">
        <v>45693</v>
      </c>
      <c r="G21" s="45"/>
      <c r="H21" s="163" t="s">
        <v>164</v>
      </c>
      <c r="I21" s="42" t="s">
        <v>165</v>
      </c>
      <c r="J21" s="28" t="s">
        <v>166</v>
      </c>
      <c r="K21" s="69">
        <v>944925985</v>
      </c>
      <c r="L21" s="68" t="s">
        <v>167</v>
      </c>
      <c r="M21" s="46">
        <v>37533</v>
      </c>
      <c r="N21" s="238">
        <f ca="1">IF(Tabla1[[#This Row],[Fecha de nac]]="","",IF(Tabla1[[#This Row],[Fecha Finalización]] &gt;=TODAY(), DATEDIF(Tabla1[[#This Row],[Fecha de nac]],TODAY(),"y"), ROUNDDOWN((Tabla1[[#This Row],[Fecha Finalización]] -Tabla1[[#This Row],[Fecha de nac]])/365,0)))</f>
        <v>22</v>
      </c>
      <c r="O21" s="169"/>
      <c r="P21" s="34" t="s">
        <v>81</v>
      </c>
      <c r="Q21" s="67"/>
      <c r="R21" s="67"/>
      <c r="S21" s="67"/>
      <c r="T21" s="67"/>
      <c r="U21" s="243">
        <f>IF(F21="","",Tabla1[[#This Row],[Fecha Inicio grupo]]+3*7-7)</f>
        <v>45707</v>
      </c>
      <c r="V21" s="244">
        <f>IF(F21="","",EDATE(Tabla1[[#This Row],[Fecha Inicio grupo]],3))</f>
        <v>45782</v>
      </c>
      <c r="W21" s="28" t="s">
        <v>139</v>
      </c>
      <c r="X21" s="28" t="s">
        <v>139</v>
      </c>
      <c r="Y21" s="76" t="s">
        <v>83</v>
      </c>
      <c r="Z21" s="76" t="s">
        <v>83</v>
      </c>
      <c r="AA21" s="76" t="s">
        <v>84</v>
      </c>
      <c r="AB21" s="76" t="s">
        <v>83</v>
      </c>
      <c r="AC21" s="76" t="s">
        <v>84</v>
      </c>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Asistió</v>
      </c>
      <c r="AQ21" s="39"/>
      <c r="AR21" s="200"/>
      <c r="AS21" s="39"/>
      <c r="AT21" s="28"/>
      <c r="AU21" s="55"/>
      <c r="AV21" s="55"/>
      <c r="AW21" s="55"/>
      <c r="AX21" s="248">
        <f>IF(V21="","",EOMONTH(EDATE(Tabla1[[#This Row],[Fecha Finalización]],2),0))</f>
        <v>45869</v>
      </c>
      <c r="AY21" s="39"/>
      <c r="AZ21" s="249">
        <f>IF(V21="","",EOMONTH(EDATE(Tabla1[[#This Row],[Fecha Finalización]],3),0))</f>
        <v>45900</v>
      </c>
      <c r="BA21" s="39"/>
      <c r="BB21" s="39"/>
      <c r="BC21" s="235" t="s">
        <v>168</v>
      </c>
      <c r="BD21" s="233" t="str">
        <f>IF(F21="","",Tabla1[[#This Row],[sem 01]]&amp;Tabla1[[#This Row],[sem 02]]&amp;Tabla1[[#This Row],[sem 03]])</f>
        <v>PPF</v>
      </c>
      <c r="BE21" s="234" t="str">
        <f>IF(TRIM(F21)="","",$B$1&amp;"-"&amp;SUBSTITUTE(Tabla1[[#This Row],[Mes Inscrito]]," ","")&amp;"-"&amp;SUBSTITUTE(Tabla1[[#This Row],[Dia de clases Inscrito]]," ","")&amp;"-"&amp;SUBSTITUTE(Tabla1[[#This Row],[Horario Inscrito]]," ","")&amp;"-"&amp;Tabla1[[#This Row],[Fecha Inicio grupo]])</f>
        <v>Huancayo - El Tambo-Febrero-Miércoles-7:00-9:00p.m.-45693</v>
      </c>
      <c r="BF21" s="251" t="str">
        <f>IF(F21="","",Tabla1[[#This Row],[Curso]])</f>
        <v>Oratoria y Filosofía</v>
      </c>
      <c r="BG21" s="252" t="str">
        <f>+IF(TRIM(F21)="","",$B$1&amp;"-"&amp;TRIM(Tabla1[[#This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21" s="309"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0">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1" s="310"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0" t="str">
        <f>IF(Tabla1[[#This Row],[Fecha Inicio grupo]]="","",IFERROR(VLOOKUP(Tabla1[[#This Row],[Mes de Alta como miembro]],Parámetros!$AM$2:$AN$16,2,0),"01/01/1900"))</f>
        <v>01/01/1900</v>
      </c>
    </row>
    <row r="22" spans="1:63" s="24" customFormat="1" ht="12.75">
      <c r="A22" s="68">
        <v>19</v>
      </c>
      <c r="B22" s="28" t="s">
        <v>72</v>
      </c>
      <c r="C22" s="34" t="s">
        <v>154</v>
      </c>
      <c r="D22" s="42" t="s">
        <v>155</v>
      </c>
      <c r="E22" s="42" t="s">
        <v>130</v>
      </c>
      <c r="F22" s="45">
        <v>45693</v>
      </c>
      <c r="G22" s="45"/>
      <c r="H22" s="163" t="s">
        <v>169</v>
      </c>
      <c r="I22" s="28" t="s">
        <v>170</v>
      </c>
      <c r="J22" s="28" t="s">
        <v>171</v>
      </c>
      <c r="K22" s="69">
        <v>985308182</v>
      </c>
      <c r="L22" s="68" t="s">
        <v>172</v>
      </c>
      <c r="M22" s="46">
        <v>35411</v>
      </c>
      <c r="N22" s="238">
        <f ca="1">IF(Tabla1[[#This Row],[Fecha de nac]]="","",IF(Tabla1[[#This Row],[Fecha Finalización]] &gt;=TODAY(), DATEDIF(Tabla1[[#This Row],[Fecha de nac]],TODAY(),"y"), ROUNDDOWN((Tabla1[[#This Row],[Fecha Finalización]] -Tabla1[[#This Row],[Fecha de nac]])/365,0)))</f>
        <v>28</v>
      </c>
      <c r="O22" s="169"/>
      <c r="P22" s="70" t="s">
        <v>81</v>
      </c>
      <c r="Q22" s="71"/>
      <c r="R22" s="71"/>
      <c r="S22" s="71"/>
      <c r="T22" s="71"/>
      <c r="U22" s="245">
        <f>IF(F22="","",Tabla1[[#This Row],[Fecha Inicio grupo]]+3*7-7)</f>
        <v>45707</v>
      </c>
      <c r="V22" s="244">
        <f>IF(F22="","",EDATE(Tabla1[[#This Row],[Fecha Inicio grupo]],3))</f>
        <v>45782</v>
      </c>
      <c r="W22" s="28" t="s">
        <v>139</v>
      </c>
      <c r="X22" s="28" t="s">
        <v>139</v>
      </c>
      <c r="Y22" s="76" t="s">
        <v>83</v>
      </c>
      <c r="Z22" s="76" t="s">
        <v>84</v>
      </c>
      <c r="AA22" s="76" t="s">
        <v>83</v>
      </c>
      <c r="AB22" s="76" t="s">
        <v>84</v>
      </c>
      <c r="AC22" s="76" t="s">
        <v>84</v>
      </c>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Asistió</v>
      </c>
      <c r="AQ22" s="39"/>
      <c r="AR22" s="200"/>
      <c r="AS22" s="39"/>
      <c r="AT22" s="28"/>
      <c r="AU22" s="55"/>
      <c r="AV22" s="55"/>
      <c r="AW22" s="55"/>
      <c r="AX22" s="248">
        <f>IF(V22="","",EOMONTH(EDATE(Tabla1[[#This Row],[Fecha Finalización]],2),0))</f>
        <v>45869</v>
      </c>
      <c r="AY22" s="39"/>
      <c r="AZ22" s="249">
        <f>IF(V22="","",EOMONTH(EDATE(Tabla1[[#This Row],[Fecha Finalización]],3),0))</f>
        <v>45900</v>
      </c>
      <c r="BA22" s="39"/>
      <c r="BB22" s="39"/>
      <c r="BC22" s="235" t="s">
        <v>85</v>
      </c>
      <c r="BD22" s="233" t="str">
        <f>IF(F22="","",Tabla1[[#This Row],[sem 01]]&amp;Tabla1[[#This Row],[sem 02]]&amp;Tabla1[[#This Row],[sem 03]])</f>
        <v>PFP</v>
      </c>
      <c r="BE22" s="234" t="str">
        <f>IF(TRIM(F22)="","",$B$1&amp;"-"&amp;SUBSTITUTE(Tabla1[[#This Row],[Mes Inscrito]]," ","")&amp;"-"&amp;SUBSTITUTE(Tabla1[[#This Row],[Dia de clases Inscrito]]," ","")&amp;"-"&amp;SUBSTITUTE(Tabla1[[#This Row],[Horario Inscrito]]," ","")&amp;"-"&amp;Tabla1[[#This Row],[Fecha Inicio grupo]])</f>
        <v>Huancayo - El Tambo-Febrero-Miércoles-7:00-9:00p.m.-45693</v>
      </c>
      <c r="BF22" s="251" t="str">
        <f>IF(F22="","",Tabla1[[#This Row],[Curso]])</f>
        <v>Oratoria y Filosofía</v>
      </c>
      <c r="BG22" s="252" t="str">
        <f>+IF(TRIM(F22)="","",$B$1&amp;"-"&amp;TRIM(Tabla1[[#This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22" s="309"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0">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2" s="310"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0" t="str">
        <f>IF(Tabla1[[#This Row],[Fecha Inicio grupo]]="","",IFERROR(VLOOKUP(Tabla1[[#This Row],[Mes de Alta como miembro]],Parámetros!$AM$2:$AN$16,2,0),"01/01/1900"))</f>
        <v>01/01/1900</v>
      </c>
    </row>
    <row r="23" spans="1:63" s="24" customFormat="1" ht="12.75">
      <c r="A23" s="68">
        <v>20</v>
      </c>
      <c r="B23" s="28" t="s">
        <v>72</v>
      </c>
      <c r="C23" s="34" t="s">
        <v>154</v>
      </c>
      <c r="D23" s="42" t="s">
        <v>155</v>
      </c>
      <c r="E23" s="42" t="s">
        <v>130</v>
      </c>
      <c r="F23" s="45">
        <v>45693</v>
      </c>
      <c r="G23" s="45"/>
      <c r="H23" s="163" t="s">
        <v>173</v>
      </c>
      <c r="I23" s="42" t="s">
        <v>174</v>
      </c>
      <c r="J23" s="28" t="s">
        <v>175</v>
      </c>
      <c r="K23" s="69">
        <v>901587065</v>
      </c>
      <c r="L23" s="68" t="s">
        <v>176</v>
      </c>
      <c r="M23" s="46">
        <v>37265</v>
      </c>
      <c r="N23" s="238">
        <f ca="1">IF(Tabla1[[#This Row],[Fecha de nac]]="","",IF(Tabla1[[#This Row],[Fecha Finalización]] &gt;=TODAY(), DATEDIF(Tabla1[[#This Row],[Fecha de nac]],TODAY(),"y"), ROUNDDOWN((Tabla1[[#This Row],[Fecha Finalización]] -Tabla1[[#This Row],[Fecha de nac]])/365,0)))</f>
        <v>23</v>
      </c>
      <c r="O23" s="169"/>
      <c r="P23" s="34" t="s">
        <v>81</v>
      </c>
      <c r="Q23" s="67"/>
      <c r="R23" s="67"/>
      <c r="S23" s="67"/>
      <c r="T23" s="67"/>
      <c r="U23" s="243">
        <f>IF(F23="","",Tabla1[[#This Row],[Fecha Inicio grupo]]+3*7-7)</f>
        <v>45707</v>
      </c>
      <c r="V23" s="244">
        <f>IF(F23="","",EDATE(Tabla1[[#This Row],[Fecha Inicio grupo]],3))</f>
        <v>45782</v>
      </c>
      <c r="W23" s="28" t="s">
        <v>139</v>
      </c>
      <c r="X23" s="28" t="s">
        <v>139</v>
      </c>
      <c r="Y23" s="76" t="s">
        <v>120</v>
      </c>
      <c r="Z23" s="76" t="s">
        <v>83</v>
      </c>
      <c r="AA23" s="76" t="s">
        <v>83</v>
      </c>
      <c r="AB23" s="76" t="s">
        <v>84</v>
      </c>
      <c r="AC23" s="76" t="s">
        <v>84</v>
      </c>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Asistió</v>
      </c>
      <c r="AQ23" s="39"/>
      <c r="AR23" s="200"/>
      <c r="AS23" s="39"/>
      <c r="AT23" s="28"/>
      <c r="AU23" s="55"/>
      <c r="AV23" s="55"/>
      <c r="AW23" s="55"/>
      <c r="AX23" s="248">
        <f>IF(V23="","",EOMONTH(EDATE(Tabla1[[#This Row],[Fecha Finalización]],2),0))</f>
        <v>45869</v>
      </c>
      <c r="AY23" s="39"/>
      <c r="AZ23" s="249">
        <f>IF(V23="","",EOMONTH(EDATE(Tabla1[[#This Row],[Fecha Finalización]],3),0))</f>
        <v>45900</v>
      </c>
      <c r="BA23" s="39"/>
      <c r="BB23" s="39"/>
      <c r="BC23" s="235" t="s">
        <v>98</v>
      </c>
      <c r="BD23" s="233" t="str">
        <f>IF(F23="","",Tabla1[[#This Row],[sem 01]]&amp;Tabla1[[#This Row],[sem 02]]&amp;Tabla1[[#This Row],[sem 03]])</f>
        <v>NPP</v>
      </c>
      <c r="BE23" s="234" t="str">
        <f>IF(TRIM(F23)="","",$B$1&amp;"-"&amp;SUBSTITUTE(Tabla1[[#This Row],[Mes Inscrito]]," ","")&amp;"-"&amp;SUBSTITUTE(Tabla1[[#This Row],[Dia de clases Inscrito]]," ","")&amp;"-"&amp;SUBSTITUTE(Tabla1[[#This Row],[Horario Inscrito]]," ","")&amp;"-"&amp;Tabla1[[#This Row],[Fecha Inicio grupo]])</f>
        <v>Huancayo - El Tambo-Febrero-Miércoles-7:00-9:00p.m.-45693</v>
      </c>
      <c r="BF23" s="251" t="str">
        <f>IF(F23="","",Tabla1[[#This Row],[Curso]])</f>
        <v>Oratoria y Filosofía</v>
      </c>
      <c r="BG23" s="252" t="str">
        <f>+IF(TRIM(F23)="","",$B$1&amp;"-"&amp;TRIM(Tabla1[[#This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23" s="309"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10">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3" s="310"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10" t="str">
        <f>IF(Tabla1[[#This Row],[Fecha Inicio grupo]]="","",IFERROR(VLOOKUP(Tabla1[[#This Row],[Mes de Alta como miembro]],Parámetros!$AM$2:$AN$16,2,0),"01/01/1900"))</f>
        <v>01/01/1900</v>
      </c>
    </row>
    <row r="24" spans="1:63" s="24" customFormat="1" ht="12.75">
      <c r="A24" s="68">
        <v>21</v>
      </c>
      <c r="B24" s="28" t="s">
        <v>72</v>
      </c>
      <c r="C24" s="34" t="s">
        <v>154</v>
      </c>
      <c r="D24" s="42" t="s">
        <v>155</v>
      </c>
      <c r="E24" s="42" t="s">
        <v>130</v>
      </c>
      <c r="F24" s="45">
        <v>45693</v>
      </c>
      <c r="G24" s="45"/>
      <c r="H24" s="163" t="s">
        <v>177</v>
      </c>
      <c r="I24" s="42" t="s">
        <v>178</v>
      </c>
      <c r="J24" s="28" t="s">
        <v>179</v>
      </c>
      <c r="K24" s="69">
        <v>926575437</v>
      </c>
      <c r="L24" s="68" t="s">
        <v>180</v>
      </c>
      <c r="M24" s="46">
        <v>38267</v>
      </c>
      <c r="N24" s="238">
        <f ca="1">IF(Tabla1[[#This Row],[Fecha de nac]]="","",IF(Tabla1[[#This Row],[Fecha Finalización]] &gt;=TODAY(), DATEDIF(Tabla1[[#This Row],[Fecha de nac]],TODAY(),"y"), ROUNDDOWN((Tabla1[[#This Row],[Fecha Finalización]] -Tabla1[[#This Row],[Fecha de nac]])/365,0)))</f>
        <v>20</v>
      </c>
      <c r="O24" s="169"/>
      <c r="P24" s="34" t="s">
        <v>81</v>
      </c>
      <c r="Q24" s="67"/>
      <c r="R24" s="67"/>
      <c r="S24" s="67"/>
      <c r="T24" s="67"/>
      <c r="U24" s="243">
        <f>IF(F24="","",Tabla1[[#This Row],[Fecha Inicio grupo]]+3*7-7)</f>
        <v>45707</v>
      </c>
      <c r="V24" s="244">
        <f>IF(F24="","",EDATE(Tabla1[[#This Row],[Fecha Inicio grupo]],3))</f>
        <v>45782</v>
      </c>
      <c r="W24" s="28" t="s">
        <v>139</v>
      </c>
      <c r="X24" s="28" t="s">
        <v>139</v>
      </c>
      <c r="Y24" s="76" t="s">
        <v>120</v>
      </c>
      <c r="Z24" s="76" t="s">
        <v>83</v>
      </c>
      <c r="AA24" s="76" t="s">
        <v>83</v>
      </c>
      <c r="AB24" s="76" t="s">
        <v>83</v>
      </c>
      <c r="AC24" s="76" t="s">
        <v>84</v>
      </c>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Asistió</v>
      </c>
      <c r="AQ24" s="39"/>
      <c r="AR24" s="200"/>
      <c r="AS24" s="39"/>
      <c r="AT24" s="28"/>
      <c r="AU24" s="55"/>
      <c r="AV24" s="55"/>
      <c r="AW24" s="55"/>
      <c r="AX24" s="248">
        <f>IF(V24="","",EOMONTH(EDATE(Tabla1[[#This Row],[Fecha Finalización]],2),0))</f>
        <v>45869</v>
      </c>
      <c r="AY24" s="39"/>
      <c r="AZ24" s="249">
        <f>IF(V24="","",EOMONTH(EDATE(Tabla1[[#This Row],[Fecha Finalización]],3),0))</f>
        <v>45900</v>
      </c>
      <c r="BA24" s="39"/>
      <c r="BB24" s="39"/>
      <c r="BC24" s="235" t="s">
        <v>98</v>
      </c>
      <c r="BD24" s="233" t="str">
        <f>IF(F24="","",Tabla1[[#This Row],[sem 01]]&amp;Tabla1[[#This Row],[sem 02]]&amp;Tabla1[[#This Row],[sem 03]])</f>
        <v>NPP</v>
      </c>
      <c r="BE24" s="234" t="str">
        <f>IF(TRIM(F24)="","",$B$1&amp;"-"&amp;SUBSTITUTE(Tabla1[[#This Row],[Mes Inscrito]]," ","")&amp;"-"&amp;SUBSTITUTE(Tabla1[[#This Row],[Dia de clases Inscrito]]," ","")&amp;"-"&amp;SUBSTITUTE(Tabla1[[#This Row],[Horario Inscrito]]," ","")&amp;"-"&amp;Tabla1[[#This Row],[Fecha Inicio grupo]])</f>
        <v>Huancayo - El Tambo-Febrero-Miércoles-7:00-9:00p.m.-45693</v>
      </c>
      <c r="BF24" s="251" t="str">
        <f>IF(F24="","",Tabla1[[#This Row],[Curso]])</f>
        <v>Oratoria y Filosofía</v>
      </c>
      <c r="BG24" s="252" t="str">
        <f>+IF(TRIM(F24)="","",$B$1&amp;"-"&amp;TRIM(Tabla1[[#This Row],[Mes Inscrito]])&amp;"-"&amp;TRIM(Tabla1[[#This Row],[Dia de clases Inscrito]])&amp;"-"&amp;TRIM(Tabla1[[#This Row],[Horario Inscrito]])&amp;"-"&amp;TRIM(Tabla1[[#This Row],[Fecha Inicio grupo]])&amp;"-"&amp;TRIM(Tabla1[[#This Row],[Tipo Incrito]]))</f>
        <v>Huancayo - El Tambo-Febrero-Miércoles-7:00 - 9:00 p. m.-45693-Inscrito Nuevo</v>
      </c>
      <c r="BH24" s="309"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10">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4" s="31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10" t="str">
        <f>IF(Tabla1[[#This Row],[Fecha Inicio grupo]]="","",IFERROR(VLOOKUP(Tabla1[[#This Row],[Mes de Alta como miembro]],Parámetros!$AM$2:$AN$16,2,0),"01/01/1900"))</f>
        <v>01/01/1900</v>
      </c>
    </row>
    <row r="25" spans="1:63" s="24" customFormat="1" ht="12.75">
      <c r="A25" s="68">
        <v>22</v>
      </c>
      <c r="B25" s="28" t="s">
        <v>72</v>
      </c>
      <c r="C25" s="34" t="s">
        <v>154</v>
      </c>
      <c r="D25" s="42" t="s">
        <v>155</v>
      </c>
      <c r="E25" s="42" t="s">
        <v>130</v>
      </c>
      <c r="F25" s="45">
        <v>45693</v>
      </c>
      <c r="G25" s="45"/>
      <c r="H25" s="163" t="s">
        <v>131</v>
      </c>
      <c r="I25" s="28" t="s">
        <v>132</v>
      </c>
      <c r="J25" s="28" t="s">
        <v>133</v>
      </c>
      <c r="K25" s="69">
        <v>901611944</v>
      </c>
      <c r="L25" s="68" t="s">
        <v>134</v>
      </c>
      <c r="M25" s="46">
        <v>37552</v>
      </c>
      <c r="N25" s="238">
        <f ca="1">IF(Tabla1[[#This Row],[Fecha de nac]]="","",IF(Tabla1[[#This Row],[Fecha Finalización]] &gt;=TODAY(), DATEDIF(Tabla1[[#This Row],[Fecha de nac]],TODAY(),"y"), ROUNDDOWN((Tabla1[[#This Row],[Fecha Finalización]] -Tabla1[[#This Row],[Fecha de nac]])/365,0)))</f>
        <v>22</v>
      </c>
      <c r="O25" s="169"/>
      <c r="P25" s="34" t="s">
        <v>181</v>
      </c>
      <c r="Q25" s="67">
        <v>45714</v>
      </c>
      <c r="R25" s="67"/>
      <c r="S25" s="67"/>
      <c r="T25" s="67"/>
      <c r="U25" s="243">
        <f>IF(F25="","",Tabla1[[#This Row],[Fecha Inicio grupo]]+3*7-7)</f>
        <v>45707</v>
      </c>
      <c r="V25" s="244">
        <f>IF(F25="","",EDATE(Tabla1[[#This Row],[Fecha Inicio grupo]],3))</f>
        <v>45782</v>
      </c>
      <c r="W25" s="29" t="s">
        <v>139</v>
      </c>
      <c r="X25" s="29" t="s">
        <v>139</v>
      </c>
      <c r="Y25" s="76" t="s">
        <v>120</v>
      </c>
      <c r="Z25" s="76" t="s">
        <v>120</v>
      </c>
      <c r="AA25" s="76" t="s">
        <v>120</v>
      </c>
      <c r="AB25" s="76" t="s">
        <v>83</v>
      </c>
      <c r="AC25" s="76" t="s">
        <v>83</v>
      </c>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No Asistió</v>
      </c>
      <c r="AQ25" s="39"/>
      <c r="AR25" s="200"/>
      <c r="AS25" s="39"/>
      <c r="AT25" s="28"/>
      <c r="AU25" s="55"/>
      <c r="AV25" s="55"/>
      <c r="AW25" s="55"/>
      <c r="AX25" s="248">
        <f>IF(V25="","",EOMONTH(EDATE(Tabla1[[#This Row],[Fecha Finalización]],2),0))</f>
        <v>45869</v>
      </c>
      <c r="AY25" s="39"/>
      <c r="AZ25" s="249">
        <f>IF(V25="","",EOMONTH(EDATE(Tabla1[[#This Row],[Fecha Finalización]],3),0))</f>
        <v>45900</v>
      </c>
      <c r="BA25" s="39"/>
      <c r="BB25" s="39"/>
      <c r="BC25" s="235" t="s">
        <v>85</v>
      </c>
      <c r="BD25" s="233" t="str">
        <f>IF(F25="","",Tabla1[[#This Row],[sem 01]]&amp;Tabla1[[#This Row],[sem 02]]&amp;Tabla1[[#This Row],[sem 03]])</f>
        <v>NNN</v>
      </c>
      <c r="BE25" s="234" t="str">
        <f>IF(TRIM(F25)="","",$B$1&amp;"-"&amp;SUBSTITUTE(Tabla1[[#This Row],[Mes Inscrito]]," ","")&amp;"-"&amp;SUBSTITUTE(Tabla1[[#This Row],[Dia de clases Inscrito]]," ","")&amp;"-"&amp;SUBSTITUTE(Tabla1[[#This Row],[Horario Inscrito]]," ","")&amp;"-"&amp;Tabla1[[#This Row],[Fecha Inicio grupo]])</f>
        <v>Huancayo - El Tambo-Febrero-Miércoles-7:00-9:00p.m.-45693</v>
      </c>
      <c r="BF25" s="251" t="str">
        <f>IF(F25="","",Tabla1[[#This Row],[Curso]])</f>
        <v>Oratoria y Filosofía</v>
      </c>
      <c r="BG25" s="252" t="str">
        <f>+IF(TRIM(F25)="","",$B$1&amp;"-"&amp;TRIM(Tabla1[[#This Row],[Mes Inscrito]])&amp;"-"&amp;TRIM(Tabla1[[#This Row],[Dia de clases Inscrito]])&amp;"-"&amp;TRIM(Tabla1[[#This Row],[Horario Inscrito]])&amp;"-"&amp;TRIM(Tabla1[[#This Row],[Fecha Inicio grupo]])&amp;"-"&amp;TRIM(Tabla1[[#This Row],[Tipo Incrito]]))</f>
        <v>Huancayo - El Tambo-Febrero-Miércoles-7:00 - 9:00 p. m.-45693-Cambio de horario</v>
      </c>
      <c r="BH25" s="309"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10">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25" s="31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10" t="str">
        <f>IF(Tabla1[[#This Row],[Fecha Inicio grupo]]="","",IFERROR(VLOOKUP(Tabla1[[#This Row],[Mes de Alta como miembro]],Parámetros!$AM$2:$AN$16,2,0),"01/01/1900"))</f>
        <v>01/01/1900</v>
      </c>
    </row>
    <row r="26" spans="1:63" s="24" customFormat="1" ht="12.75">
      <c r="A26" s="68">
        <v>23</v>
      </c>
      <c r="B26" s="28" t="s">
        <v>72</v>
      </c>
      <c r="C26" s="34" t="s">
        <v>154</v>
      </c>
      <c r="D26" s="42" t="s">
        <v>155</v>
      </c>
      <c r="E26" s="42" t="s">
        <v>130</v>
      </c>
      <c r="F26" s="45">
        <v>45693</v>
      </c>
      <c r="G26" s="45"/>
      <c r="H26" s="163" t="s">
        <v>141</v>
      </c>
      <c r="I26" s="28" t="s">
        <v>142</v>
      </c>
      <c r="J26" s="28" t="s">
        <v>143</v>
      </c>
      <c r="K26" s="69">
        <v>996689953</v>
      </c>
      <c r="L26" s="68" t="s">
        <v>144</v>
      </c>
      <c r="M26" s="46">
        <v>40157</v>
      </c>
      <c r="N26" s="238">
        <f ca="1">IF(Tabla1[[#This Row],[Fecha de nac]]="","",IF(Tabla1[[#This Row],[Fecha Finalización]] &gt;=TODAY(), DATEDIF(Tabla1[[#This Row],[Fecha de nac]],TODAY(),"y"), ROUNDDOWN((Tabla1[[#This Row],[Fecha Finalización]] -Tabla1[[#This Row],[Fecha de nac]])/365,0)))</f>
        <v>15</v>
      </c>
      <c r="O26" s="169"/>
      <c r="P26" s="34" t="s">
        <v>181</v>
      </c>
      <c r="Q26" s="67">
        <v>45721</v>
      </c>
      <c r="R26" s="67" t="s">
        <v>73</v>
      </c>
      <c r="S26" s="67" t="s">
        <v>74</v>
      </c>
      <c r="T26" s="79" t="s">
        <v>153</v>
      </c>
      <c r="U26" s="243">
        <f>IF(F26="","",Tabla1[[#This Row],[Fecha Inicio grupo]]+3*7-7)</f>
        <v>45707</v>
      </c>
      <c r="V26" s="244">
        <f>IF(F26="","",EDATE(Tabla1[[#This Row],[Fecha Inicio grupo]],3))</f>
        <v>45782</v>
      </c>
      <c r="W26" s="28" t="s">
        <v>139</v>
      </c>
      <c r="X26" s="28" t="s">
        <v>139</v>
      </c>
      <c r="Y26" s="76" t="s">
        <v>120</v>
      </c>
      <c r="Z26" s="76" t="s">
        <v>120</v>
      </c>
      <c r="AA26" s="76" t="s">
        <v>120</v>
      </c>
      <c r="AB26" s="76" t="s">
        <v>120</v>
      </c>
      <c r="AC26" s="76" t="s">
        <v>84</v>
      </c>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No Asistió</v>
      </c>
      <c r="AQ26" s="39"/>
      <c r="AR26" s="200"/>
      <c r="AS26" s="39"/>
      <c r="AT26" s="28"/>
      <c r="AU26" s="55"/>
      <c r="AV26" s="55"/>
      <c r="AW26" s="55"/>
      <c r="AX26" s="248">
        <f>IF(V26="","",EOMONTH(EDATE(Tabla1[[#This Row],[Fecha Finalización]],2),0))</f>
        <v>45869</v>
      </c>
      <c r="AY26" s="39"/>
      <c r="AZ26" s="249">
        <f>IF(V26="","",EOMONTH(EDATE(Tabla1[[#This Row],[Fecha Finalización]],3),0))</f>
        <v>45900</v>
      </c>
      <c r="BA26" s="39"/>
      <c r="BB26" s="39"/>
      <c r="BC26" s="235" t="s">
        <v>85</v>
      </c>
      <c r="BD26" s="233" t="str">
        <f>IF(F26="","",Tabla1[[#This Row],[sem 01]]&amp;Tabla1[[#This Row],[sem 02]]&amp;Tabla1[[#This Row],[sem 03]])</f>
        <v>NNN</v>
      </c>
      <c r="BE26" s="234" t="str">
        <f>IF(TRIM(F26)="","",$B$1&amp;"-"&amp;SUBSTITUTE(Tabla1[[#This Row],[Mes Inscrito]]," ","")&amp;"-"&amp;SUBSTITUTE(Tabla1[[#This Row],[Dia de clases Inscrito]]," ","")&amp;"-"&amp;SUBSTITUTE(Tabla1[[#This Row],[Horario Inscrito]]," ","")&amp;"-"&amp;Tabla1[[#This Row],[Fecha Inicio grupo]])</f>
        <v>Huancayo - El Tambo-Febrero-Miércoles-7:00-9:00p.m.-45693</v>
      </c>
      <c r="BF26" s="251" t="str">
        <f>IF(F26="","",Tabla1[[#This Row],[Curso]])</f>
        <v>Oratoria y Filosofía</v>
      </c>
      <c r="BG26" s="252" t="str">
        <f>+IF(TRIM(F26)="","",$B$1&amp;"-"&amp;TRIM(Tabla1[[#This Row],[Mes Inscrito]])&amp;"-"&amp;TRIM(Tabla1[[#This Row],[Dia de clases Inscrito]])&amp;"-"&amp;TRIM(Tabla1[[#This Row],[Horario Inscrito]])&amp;"-"&amp;TRIM(Tabla1[[#This Row],[Fecha Inicio grupo]])&amp;"-"&amp;TRIM(Tabla1[[#This Row],[Tipo Incrito]]))</f>
        <v>Huancayo - El Tambo-Febrero-Miércoles-7:00 - 9:00 p. m.-45693-Cambio de horario</v>
      </c>
      <c r="BH26" s="309"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10"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6" s="31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6" s="310" t="str">
        <f>IF(Tabla1[[#This Row],[Fecha Inicio grupo]]="","",IFERROR(VLOOKUP(Tabla1[[#This Row],[Mes de Alta como miembro]],Parámetros!$AM$2:$AN$16,2,0),"01/01/1900"))</f>
        <v>01/01/1900</v>
      </c>
    </row>
    <row r="27" spans="1:63" s="24" customFormat="1" ht="12.75">
      <c r="A27" s="68">
        <v>24</v>
      </c>
      <c r="B27" s="28" t="s">
        <v>72</v>
      </c>
      <c r="C27" s="34" t="s">
        <v>182</v>
      </c>
      <c r="D27" s="42" t="s">
        <v>155</v>
      </c>
      <c r="E27" s="42" t="s">
        <v>130</v>
      </c>
      <c r="F27" s="45">
        <v>45721</v>
      </c>
      <c r="G27" s="45"/>
      <c r="H27" s="163" t="s">
        <v>183</v>
      </c>
      <c r="I27" s="42" t="s">
        <v>184</v>
      </c>
      <c r="J27" s="28" t="s">
        <v>185</v>
      </c>
      <c r="K27" s="69">
        <v>961470326</v>
      </c>
      <c r="L27" s="68" t="s">
        <v>186</v>
      </c>
      <c r="M27" s="46">
        <v>35045</v>
      </c>
      <c r="N27" s="238">
        <f ca="1">IF(Tabla1[[#This Row],[Fecha de nac]]="","",IF(Tabla1[[#This Row],[Fecha Finalización]] &gt;=TODAY(), DATEDIF(Tabla1[[#This Row],[Fecha de nac]],TODAY(),"y"), ROUNDDOWN((Tabla1[[#This Row],[Fecha Finalización]] -Tabla1[[#This Row],[Fecha de nac]])/365,0)))</f>
        <v>29</v>
      </c>
      <c r="O27" s="169"/>
      <c r="P27" s="34" t="s">
        <v>81</v>
      </c>
      <c r="Q27" s="67"/>
      <c r="R27" s="67"/>
      <c r="S27" s="67"/>
      <c r="T27" s="67"/>
      <c r="U27" s="243">
        <f>IF(F27="","",Tabla1[[#This Row],[Fecha Inicio grupo]]+3*7-7)</f>
        <v>45735</v>
      </c>
      <c r="V27" s="244">
        <f>IF(F27="","",EDATE(Tabla1[[#This Row],[Fecha Inicio grupo]],3))</f>
        <v>45813</v>
      </c>
      <c r="W27" s="29" t="s">
        <v>82</v>
      </c>
      <c r="X27" s="29" t="s">
        <v>82</v>
      </c>
      <c r="Y27" s="76" t="s">
        <v>83</v>
      </c>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Completar hasta 3ra sem. para evaluar a Probacionista</v>
      </c>
      <c r="AQ27" s="39"/>
      <c r="AR27" s="200"/>
      <c r="AS27" s="39"/>
      <c r="AT27" s="28"/>
      <c r="AU27" s="55"/>
      <c r="AV27" s="55"/>
      <c r="AW27" s="55"/>
      <c r="AX27" s="248">
        <f>IF(V27="","",EOMONTH(EDATE(Tabla1[[#This Row],[Fecha Finalización]],2),0))</f>
        <v>45900</v>
      </c>
      <c r="AY27" s="39"/>
      <c r="AZ27" s="249">
        <f>IF(V27="","",EOMONTH(EDATE(Tabla1[[#This Row],[Fecha Finalización]],3),0))</f>
        <v>45930</v>
      </c>
      <c r="BA27" s="39"/>
      <c r="BB27" s="39"/>
      <c r="BC27" s="235" t="s">
        <v>98</v>
      </c>
      <c r="BD27" s="233" t="str">
        <f>IF(F27="","",Tabla1[[#This Row],[sem 01]]&amp;Tabla1[[#This Row],[sem 02]]&amp;Tabla1[[#This Row],[sem 03]])</f>
        <v>P</v>
      </c>
      <c r="BE27" s="234" t="str">
        <f>IF(TRIM(F27)="","",$B$1&amp;"-"&amp;SUBSTITUTE(Tabla1[[#This Row],[Mes Inscrito]]," ","")&amp;"-"&amp;SUBSTITUTE(Tabla1[[#This Row],[Dia de clases Inscrito]]," ","")&amp;"-"&amp;SUBSTITUTE(Tabla1[[#This Row],[Horario Inscrito]]," ","")&amp;"-"&amp;Tabla1[[#This Row],[Fecha Inicio grupo]])</f>
        <v>Huancayo - El Tambo-Marzo-Miércoles-7:00-9:00p.m.-45721</v>
      </c>
      <c r="BF27" s="251" t="str">
        <f>IF(F27="","",Tabla1[[#This Row],[Curso]])</f>
        <v>Oratoria y Filosofía</v>
      </c>
      <c r="BG27" s="252" t="str">
        <f>+IF(TRIM(F27)="","",$B$1&amp;"-"&amp;TRIM(Tabla1[[#This Row],[Mes Inscrito]])&amp;"-"&amp;TRIM(Tabla1[[#This Row],[Dia de clases Inscrito]])&amp;"-"&amp;TRIM(Tabla1[[#This Row],[Horario Inscrito]])&amp;"-"&amp;TRIM(Tabla1[[#This Row],[Fecha Inicio grupo]])&amp;"-"&amp;TRIM(Tabla1[[#This Row],[Tipo Incrito]]))</f>
        <v>Huancayo - El Tambo-Marzo-Miércoles-7:00 - 9:00 p. m.-45721-Inscrito Nuevo</v>
      </c>
      <c r="BH27" s="309"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10">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45742</v>
      </c>
      <c r="BJ27" s="31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10" t="str">
        <f>IF(Tabla1[[#This Row],[Fecha Inicio grupo]]="","",IFERROR(VLOOKUP(Tabla1[[#This Row],[Mes de Alta como miembro]],Parámetros!$AM$2:$AN$16,2,0),"01/01/1900"))</f>
        <v>01/01/1900</v>
      </c>
    </row>
    <row r="28" spans="1:63" s="24" customFormat="1" ht="12.75">
      <c r="A28" s="68">
        <v>25</v>
      </c>
      <c r="B28" s="28" t="s">
        <v>72</v>
      </c>
      <c r="C28" s="34" t="s">
        <v>182</v>
      </c>
      <c r="D28" s="42" t="s">
        <v>155</v>
      </c>
      <c r="E28" s="42" t="s">
        <v>130</v>
      </c>
      <c r="F28" s="45">
        <v>45721</v>
      </c>
      <c r="G28" s="45"/>
      <c r="H28" s="163" t="s">
        <v>187</v>
      </c>
      <c r="I28" s="42" t="s">
        <v>188</v>
      </c>
      <c r="J28" s="28" t="s">
        <v>189</v>
      </c>
      <c r="K28" s="69">
        <v>938319277</v>
      </c>
      <c r="L28" s="68" t="s">
        <v>190</v>
      </c>
      <c r="M28" s="46">
        <v>39665</v>
      </c>
      <c r="N28" s="238">
        <f ca="1">IF(Tabla1[[#This Row],[Fecha de nac]]="","",IF(Tabla1[[#This Row],[Fecha Finalización]] &gt;=TODAY(), DATEDIF(Tabla1[[#This Row],[Fecha de nac]],TODAY(),"y"), ROUNDDOWN((Tabla1[[#This Row],[Fecha Finalización]] -Tabla1[[#This Row],[Fecha de nac]])/365,0)))</f>
        <v>16</v>
      </c>
      <c r="O28" s="169"/>
      <c r="P28" s="34" t="s">
        <v>81</v>
      </c>
      <c r="Q28" s="67"/>
      <c r="R28" s="67"/>
      <c r="S28" s="67"/>
      <c r="T28" s="67"/>
      <c r="U28" s="243">
        <f>IF(F28="","",Tabla1[[#This Row],[Fecha Inicio grupo]]+3*7-7)</f>
        <v>45735</v>
      </c>
      <c r="V28" s="244">
        <f>IF(F28="","",EDATE(Tabla1[[#This Row],[Fecha Inicio grupo]],3))</f>
        <v>45813</v>
      </c>
      <c r="W28" s="29" t="s">
        <v>82</v>
      </c>
      <c r="X28" s="29" t="s">
        <v>82</v>
      </c>
      <c r="Y28" s="76" t="s">
        <v>83</v>
      </c>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Completar hasta 3ra sem. para evaluar a Probacionista</v>
      </c>
      <c r="AQ28" s="39"/>
      <c r="AR28" s="200"/>
      <c r="AS28" s="39"/>
      <c r="AT28" s="28"/>
      <c r="AU28" s="55"/>
      <c r="AV28" s="55"/>
      <c r="AW28" s="55"/>
      <c r="AX28" s="248">
        <f>IF(V28="","",EOMONTH(EDATE(Tabla1[[#This Row],[Fecha Finalización]],2),0))</f>
        <v>45900</v>
      </c>
      <c r="AY28" s="39"/>
      <c r="AZ28" s="249">
        <f>IF(V28="","",EOMONTH(EDATE(Tabla1[[#This Row],[Fecha Finalización]],3),0))</f>
        <v>45930</v>
      </c>
      <c r="BA28" s="39"/>
      <c r="BB28" s="39"/>
      <c r="BC28" s="235" t="s">
        <v>98</v>
      </c>
      <c r="BD28" s="233" t="str">
        <f>IF(F28="","",Tabla1[[#This Row],[sem 01]]&amp;Tabla1[[#This Row],[sem 02]]&amp;Tabla1[[#This Row],[sem 03]])</f>
        <v>P</v>
      </c>
      <c r="BE28" s="234" t="str">
        <f>IF(TRIM(F28)="","",$B$1&amp;"-"&amp;SUBSTITUTE(Tabla1[[#This Row],[Mes Inscrito]]," ","")&amp;"-"&amp;SUBSTITUTE(Tabla1[[#This Row],[Dia de clases Inscrito]]," ","")&amp;"-"&amp;SUBSTITUTE(Tabla1[[#This Row],[Horario Inscrito]]," ","")&amp;"-"&amp;Tabla1[[#This Row],[Fecha Inicio grupo]])</f>
        <v>Huancayo - El Tambo-Marzo-Miércoles-7:00-9:00p.m.-45721</v>
      </c>
      <c r="BF28" s="251" t="str">
        <f>IF(F28="","",Tabla1[[#This Row],[Curso]])</f>
        <v>Oratoria y Filosofía</v>
      </c>
      <c r="BG28" s="252" t="str">
        <f>+IF(TRIM(F28)="","",$B$1&amp;"-"&amp;TRIM(Tabla1[[#This Row],[Mes Inscrito]])&amp;"-"&amp;TRIM(Tabla1[[#This Row],[Dia de clases Inscrito]])&amp;"-"&amp;TRIM(Tabla1[[#This Row],[Horario Inscrito]])&amp;"-"&amp;TRIM(Tabla1[[#This Row],[Fecha Inicio grupo]])&amp;"-"&amp;TRIM(Tabla1[[#This Row],[Tipo Incrito]]))</f>
        <v>Huancayo - El Tambo-Marzo-Miércoles-7:00 - 9:00 p. m.-45721-Inscrito Nuevo</v>
      </c>
      <c r="BH28" s="309"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10">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45742</v>
      </c>
      <c r="BJ28" s="31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10" t="str">
        <f>IF(Tabla1[[#This Row],[Fecha Inicio grupo]]="","",IFERROR(VLOOKUP(Tabla1[[#This Row],[Mes de Alta como miembro]],Parámetros!$AM$2:$AN$16,2,0),"01/01/1900"))</f>
        <v>01/01/1900</v>
      </c>
    </row>
    <row r="29" spans="1:63" s="24" customFormat="1" ht="12.75">
      <c r="A29" s="68">
        <v>26</v>
      </c>
      <c r="B29" s="28" t="s">
        <v>72</v>
      </c>
      <c r="C29" s="34" t="s">
        <v>182</v>
      </c>
      <c r="D29" s="42" t="s">
        <v>155</v>
      </c>
      <c r="E29" s="42" t="s">
        <v>130</v>
      </c>
      <c r="F29" s="45">
        <v>45721</v>
      </c>
      <c r="G29" s="45"/>
      <c r="H29" s="163" t="s">
        <v>191</v>
      </c>
      <c r="I29" s="42" t="s">
        <v>192</v>
      </c>
      <c r="J29" s="28" t="s">
        <v>193</v>
      </c>
      <c r="K29" s="69">
        <v>963280613</v>
      </c>
      <c r="L29" s="68" t="s">
        <v>194</v>
      </c>
      <c r="M29" s="46">
        <v>39289</v>
      </c>
      <c r="N29" s="238">
        <f ca="1">IF(Tabla1[[#This Row],[Fecha de nac]]="","",IF(Tabla1[[#This Row],[Fecha Finalización]] &gt;=TODAY(), DATEDIF(Tabla1[[#This Row],[Fecha de nac]],TODAY(),"y"), ROUNDDOWN((Tabla1[[#This Row],[Fecha Finalización]] -Tabla1[[#This Row],[Fecha de nac]])/365,0)))</f>
        <v>17</v>
      </c>
      <c r="O29" s="169"/>
      <c r="P29" s="34" t="s">
        <v>81</v>
      </c>
      <c r="Q29" s="67"/>
      <c r="R29" s="67"/>
      <c r="S29" s="67"/>
      <c r="T29" s="67"/>
      <c r="U29" s="243">
        <f>IF(F29="","",Tabla1[[#This Row],[Fecha Inicio grupo]]+3*7-7)</f>
        <v>45735</v>
      </c>
      <c r="V29" s="244">
        <f>IF(F29="","",EDATE(Tabla1[[#This Row],[Fecha Inicio grupo]],3))</f>
        <v>45813</v>
      </c>
      <c r="W29" s="29" t="s">
        <v>82</v>
      </c>
      <c r="X29" s="29" t="s">
        <v>82</v>
      </c>
      <c r="Y29" s="76" t="s">
        <v>83</v>
      </c>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Completar hasta 3ra sem. para evaluar a Probacionista</v>
      </c>
      <c r="AQ29" s="39"/>
      <c r="AR29" s="200"/>
      <c r="AS29" s="39"/>
      <c r="AT29" s="28"/>
      <c r="AU29" s="55"/>
      <c r="AV29" s="55"/>
      <c r="AW29" s="55"/>
      <c r="AX29" s="248">
        <f>IF(V29="","",EOMONTH(EDATE(Tabla1[[#This Row],[Fecha Finalización]],2),0))</f>
        <v>45900</v>
      </c>
      <c r="AY29" s="39"/>
      <c r="AZ29" s="249">
        <f>IF(V29="","",EOMONTH(EDATE(Tabla1[[#This Row],[Fecha Finalización]],3),0))</f>
        <v>45930</v>
      </c>
      <c r="BA29" s="39"/>
      <c r="BB29" s="39"/>
      <c r="BC29" s="235" t="s">
        <v>98</v>
      </c>
      <c r="BD29" s="233" t="str">
        <f>IF(F29="","",Tabla1[[#This Row],[sem 01]]&amp;Tabla1[[#This Row],[sem 02]]&amp;Tabla1[[#This Row],[sem 03]])</f>
        <v>P</v>
      </c>
      <c r="BE29" s="234" t="str">
        <f>IF(TRIM(F29)="","",$B$1&amp;"-"&amp;SUBSTITUTE(Tabla1[[#This Row],[Mes Inscrito]]," ","")&amp;"-"&amp;SUBSTITUTE(Tabla1[[#This Row],[Dia de clases Inscrito]]," ","")&amp;"-"&amp;SUBSTITUTE(Tabla1[[#This Row],[Horario Inscrito]]," ","")&amp;"-"&amp;Tabla1[[#This Row],[Fecha Inicio grupo]])</f>
        <v>Huancayo - El Tambo-Marzo-Miércoles-7:00-9:00p.m.-45721</v>
      </c>
      <c r="BF29" s="251" t="str">
        <f>IF(F29="","",Tabla1[[#This Row],[Curso]])</f>
        <v>Oratoria y Filosofía</v>
      </c>
      <c r="BG29" s="252" t="str">
        <f>+IF(TRIM(F29)="","",$B$1&amp;"-"&amp;TRIM(Tabla1[[#This Row],[Mes Inscrito]])&amp;"-"&amp;TRIM(Tabla1[[#This Row],[Dia de clases Inscrito]])&amp;"-"&amp;TRIM(Tabla1[[#This Row],[Horario Inscrito]])&amp;"-"&amp;TRIM(Tabla1[[#This Row],[Fecha Inicio grupo]])&amp;"-"&amp;TRIM(Tabla1[[#This Row],[Tipo Incrito]]))</f>
        <v>Huancayo - El Tambo-Marzo-Miércoles-7:00 - 9:00 p. m.-45721-Inscrito Nuevo</v>
      </c>
      <c r="BH29" s="309"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10">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45742</v>
      </c>
      <c r="BJ29" s="31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10" t="str">
        <f>IF(Tabla1[[#This Row],[Fecha Inicio grupo]]="","",IFERROR(VLOOKUP(Tabla1[[#This Row],[Mes de Alta como miembro]],Parámetros!$AM$2:$AN$16,2,0),"01/01/1900"))</f>
        <v>01/01/1900</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9"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0"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0"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9"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0"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0"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9"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0"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0"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9"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0"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0"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0"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0"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0"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0"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0"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0"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0"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0"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0"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0"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0"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0"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0"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0"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0"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0"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0"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0"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0"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0"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0"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0"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0"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0"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0"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0"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0"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0"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0"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0"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0"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0"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0"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0"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0"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0"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0"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0"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0"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0"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0"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0"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0"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0"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0"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0"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0"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0"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0"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0"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0"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0"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0"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0"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0"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0"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0"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0"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0"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0"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0"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0"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0"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0"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0"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0"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0"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0"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0"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0"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0"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0"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0"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0"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0"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0"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0"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0"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0"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0"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0"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0"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0"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0"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0"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0"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0"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0"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0"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0"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0"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0"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0"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0"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0"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0"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0"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0"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0"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0"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0"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0"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0"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0"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0"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0"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0"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0"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0"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0"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0"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0"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0"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0"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0"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0"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0"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0"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0"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0"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0"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0"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0"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0"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0"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0"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0"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0"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0"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0"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0"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0"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0"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0"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0"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0"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0"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0"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0"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0"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0"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0"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0"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0"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0"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0"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0"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0"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0"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0"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0"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0"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0"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0"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0"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0"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0"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0"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0"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0"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0"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0"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0"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0"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0"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0"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0"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0"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0"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0"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0"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0"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0"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0"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0"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0"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0"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0"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0"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0"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0"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0"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0"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0"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0"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0"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0"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0"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0"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0"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0"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0"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0"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0"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0"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0"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0"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0"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0"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0"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0"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0"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0"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0"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0"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0"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0"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0"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0"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0"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0"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0"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0"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0"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0"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0"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0"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0"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0"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0"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0"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0"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0"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0"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0"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0"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0"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0"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0"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0"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0"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0"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0"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0"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0"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0"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0"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0"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0"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0"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0"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0"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0"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0"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0"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0"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0"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0"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0"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0"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0"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0"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0"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0"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0"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0"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0"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0"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0"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0"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0"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0"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0"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0"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0"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0"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0"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0"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0"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0"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0"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0"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0"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0"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0"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0"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0"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0"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0"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0"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0"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0"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0"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0"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0"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0"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0"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0"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0"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0"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0"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0"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0"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0"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0"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0"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0"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0"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0"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0"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0"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0"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0"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0"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0"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0"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0"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0"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0"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0"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0"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0"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0"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0"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0"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0"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0"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0"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0"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0"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0"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0"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0"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0"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0"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0"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0"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0"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0"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0"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0"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0"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0"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0"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0"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0"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0"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0"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0"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0"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0"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0"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0"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0"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0"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0"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0"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0"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0"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0"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0"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0"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0"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0"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0"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0"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0"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0"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0"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0"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0"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0"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0"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0"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0"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0"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0"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0"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0"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0"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0"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0"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0"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0"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0"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0"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0"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0"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0"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0"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0"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0"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0"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0"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0"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0"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0"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0"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0"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0"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0"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0"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0"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0"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0"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0"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0"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0"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0"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0"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0"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0"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0"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0"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0"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0"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0"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0"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0"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0"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0"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0"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0"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0"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0"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0"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0"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0"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0"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0"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0"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0"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0"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0"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0"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0"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0"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0"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0"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0"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0"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0"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0"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0"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0"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0"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0"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0"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0"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0"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0"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0"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0"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0"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0"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0"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0"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0"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0"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0"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0"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0"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0"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0"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0"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0"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0"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0"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0"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0"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0"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0"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0"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0"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0"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0"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0"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0"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0"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0"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0"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0"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0"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0"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0"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0"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0"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0"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0"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0"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0"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0"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0"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0"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0"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0"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0"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0"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0"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0"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0"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0"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0"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0"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0"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0"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0"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0"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0"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0"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0"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0"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0"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0"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0"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0"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0"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0"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0"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0"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0"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0"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0"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0"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0"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0"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0"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0"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0"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0"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0"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0"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0"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0"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0"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0"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0"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0"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0"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0"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0"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0"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0"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0"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0"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0"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0"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0"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0"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0"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0"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0"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0"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0"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0"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0"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0"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0"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0"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0"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0"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0"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0"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0"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0"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0"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0"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0"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0"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0"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0"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0"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0"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0"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0"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0"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0"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0"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0"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0"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0"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0"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0"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0"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0"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0"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0"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0"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0"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0"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0"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0"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0"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0"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0"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0"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0"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0"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0"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0"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0"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0"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0"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0"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0"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0"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0"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0"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0"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0"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0"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0"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0"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0"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0"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0"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0"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0"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0"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0"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0"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0"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0"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0"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0"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0"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0"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0"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0"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0"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0"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0"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0"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0"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0"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0"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0"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0"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0"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0"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0"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0"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0"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0"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0"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0"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0"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0"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0"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0"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0"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0"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0"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0"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0"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0"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0"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0"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0"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0"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0"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0"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0"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0"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0"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0"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0"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0"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0"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0"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0"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0"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0"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0"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0"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0"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0"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0"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0"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0"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0"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0"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0"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0"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0"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0"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0"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0"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0"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0"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0"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0"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0"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0"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0"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0"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0"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0"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0"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0"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0"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0"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0"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0"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0"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0"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0"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0"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0"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0"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0"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0"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0"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0"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0"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0"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0"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0"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0"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0"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0"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0"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0"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0"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0"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0"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0"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0"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0"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0"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0"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0"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0"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0"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0"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0"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0"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0"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0"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0"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0"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0"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0"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0"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0"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0"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0"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0"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0"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0"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0"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0"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0"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0"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0"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0"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0"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0"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0"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0"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0"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0"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0"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0"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0"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0"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0"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0"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0"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0"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0"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0"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0"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0"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0"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0"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0"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0"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0"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0"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0"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0"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0"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0"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0"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0"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0"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0"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0"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0"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0"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0"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0"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0"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0"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0"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0"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0"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0"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0"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0"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0"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0"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0"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0"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0"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0"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0"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0"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0"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0"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0"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0"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0"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0"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0"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0"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0"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0"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0"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0"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0"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0"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0"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0"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0"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0"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0"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0"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0"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0"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0"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0"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0"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0"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0"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0"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0"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0"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0"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0"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0"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0"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0"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0"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0"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0"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0"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0"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0"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0"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0"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0"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0"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0"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0"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0"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0"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0"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0"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0"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0"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0"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0"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0"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0"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0"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0"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0"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0"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0"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0"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0"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0"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0"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0"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0"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0"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0"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0"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0"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0"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0"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0"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0"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0"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0"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0"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0"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0"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0"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0"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0"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0"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0"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0"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0"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0"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0"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0"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0"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0"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0"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0"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0"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0"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0"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0"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0"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0"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0"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0"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0"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0"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0"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0"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0"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0"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0"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0"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0"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0"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0"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0"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0"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0"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0"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0"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0"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0"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0"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0"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0"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0"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0"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0"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0"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0"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0"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0"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0"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0"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0"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0"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0"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0"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0"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0"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0"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0"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0"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0"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0"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0"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0"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0"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0"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0"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0"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0"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0"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0"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0"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0"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0"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0"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0"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0"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0"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0"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0"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0"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0"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0"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0"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0"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0"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8"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8"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8"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8"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8"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8"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8"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8"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8"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8"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8"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8"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8"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8"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8"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8"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8"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8"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8"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qffq/0dLi+VF6FNVr5vxywDYLjHcEiFQ8TcORt0IKbW3/VFKNdhTC3PtbiQ/WjZNpiRu4v/lRhwMJ7Tu8ZP9RQ==" saltValue="Bwkd0uEFMPURwFg5oKL0x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3" priority="104"/>
  </conditionalFormatting>
  <conditionalFormatting sqref="K4:K1099">
    <cfRule type="duplicateValues" dxfId="92" priority="109"/>
  </conditionalFormatting>
  <conditionalFormatting sqref="L4:L1099">
    <cfRule type="duplicateValues" dxfId="91" priority="110"/>
  </conditionalFormatting>
  <conditionalFormatting sqref="M1 M5:M7">
    <cfRule type="expression" dxfId="90" priority="145">
      <formula>(MONTH(TODAY())=MONTH(M4))*(DAY(TODAY())=DAY(M4))</formula>
    </cfRule>
  </conditionalFormatting>
  <conditionalFormatting sqref="M4 M15">
    <cfRule type="expression" dxfId="89" priority="173">
      <formula>(MONTH(TODAY())=MONTH(M5))*(DAY(TODAY())=DAY(M5))</formula>
    </cfRule>
  </conditionalFormatting>
  <conditionalFormatting sqref="M8 M13:M14">
    <cfRule type="expression" dxfId="88" priority="269">
      <formula>(MONTH(TODAY())=MONTH(#REF!))*(DAY(TODAY())=DAY(#REF!))</formula>
    </cfRule>
  </conditionalFormatting>
  <conditionalFormatting sqref="M9:M10 M17 M22">
    <cfRule type="expression" dxfId="87" priority="134">
      <formula>(MONTH(TODAY())=MONTH(M11))*(DAY(TODAY())=DAY(M11))</formula>
    </cfRule>
  </conditionalFormatting>
  <conditionalFormatting sqref="M11:M12">
    <cfRule type="expression" dxfId="86" priority="284">
      <formula>(MONTH(TODAY())=MONTH(M14))*(DAY(TODAY())=DAY(M14))</formula>
    </cfRule>
  </conditionalFormatting>
  <conditionalFormatting sqref="M16">
    <cfRule type="expression" dxfId="85" priority="277">
      <formula>(MONTH(TODAY())=MONTH(#REF!))*(DAY(TODAY())=DAY(#REF!))</formula>
    </cfRule>
  </conditionalFormatting>
  <conditionalFormatting sqref="M18">
    <cfRule type="expression" dxfId="84" priority="281">
      <formula>(MONTH(TODAY())=MONTH(M370))*(DAY(TODAY())=DAY(M370))</formula>
    </cfRule>
  </conditionalFormatting>
  <conditionalFormatting sqref="M19 M23:M24 M27:M641">
    <cfRule type="expression" dxfId="83" priority="153">
      <formula>(MONTH(TODAY())=MONTH(M372))*(DAY(TODAY())=DAY(M372))</formula>
    </cfRule>
  </conditionalFormatting>
  <conditionalFormatting sqref="M20">
    <cfRule type="expression" dxfId="82" priority="135">
      <formula>(MONTH(TODAY())=MONTH(#REF!))*(DAY(TODAY())=DAY(#REF!))</formula>
    </cfRule>
  </conditionalFormatting>
  <conditionalFormatting sqref="M21">
    <cfRule type="expression" dxfId="81" priority="114">
      <formula>(MONTH(TODAY())=MONTH(N374))*(DAY(TODAY())=DAY(N374))</formula>
    </cfRule>
  </conditionalFormatting>
  <conditionalFormatting sqref="M74:M75 M77">
    <cfRule type="expression" dxfId="80" priority="106">
      <formula>(MONTH(TODAY())=MONTH(K84))*(DAY(TODAY())=DAY(K84))</formula>
    </cfRule>
  </conditionalFormatting>
  <conditionalFormatting sqref="M76">
    <cfRule type="expression" dxfId="79" priority="107">
      <formula>(MONTH(TODAY())=MONTH(K85))*(DAY(TODAY())=DAY(K85))</formula>
    </cfRule>
  </conditionalFormatting>
  <conditionalFormatting sqref="M78:M80">
    <cfRule type="expression" dxfId="78" priority="105">
      <formula>(MONTH(TODAY())=MONTH(K89))*(DAY(TODAY())=DAY(K89))</formula>
    </cfRule>
  </conditionalFormatting>
  <conditionalFormatting sqref="M81">
    <cfRule type="expression" dxfId="77" priority="103">
      <formula>(MONTH(TODAY())=MONTH(K91))*(DAY(TODAY())=DAY(K91))</formula>
    </cfRule>
  </conditionalFormatting>
  <conditionalFormatting sqref="M82">
    <cfRule type="expression" dxfId="76" priority="102">
      <formula>(MONTH(TODAY())=MONTH(#REF!))*(DAY(TODAY())=DAY(#REF!))</formula>
    </cfRule>
  </conditionalFormatting>
  <conditionalFormatting sqref="M642:M1099">
    <cfRule type="expression" dxfId="75" priority="276">
      <formula>(MONTH(TODAY())=MONTH(P1100))*(DAY(TODAY())=DAY(P1100))</formula>
    </cfRule>
  </conditionalFormatting>
  <conditionalFormatting sqref="Y1:AO2 Y3:AN3 Y4:AO1099 X1100:X1048576 AA1100:AS1048576">
    <cfRule type="beginsWith" dxfId="74" priority="138" operator="beginsWith" text="CG">
      <formula>LEFT(X1,LEN("CG"))="CG"</formula>
    </cfRule>
    <cfRule type="beginsWith" dxfId="73" priority="141" operator="beginsWith" text="T">
      <formula>LEFT(X1,LEN("T"))="T"</formula>
    </cfRule>
    <cfRule type="beginsWith" dxfId="72" priority="142" operator="beginsWith" text="P">
      <formula>LEFT(X1,LEN("P"))="P"</formula>
    </cfRule>
  </conditionalFormatting>
  <conditionalFormatting sqref="AP1:AP2 AP4:AP1099 AW1100:AY1048576">
    <cfRule type="beginsWith" dxfId="71" priority="144" operator="beginsWith" text="Asistió">
      <formula>LEFT(AP1,LEN("Asistió"))="Asistió"</formula>
    </cfRule>
  </conditionalFormatting>
  <conditionalFormatting sqref="M25">
    <cfRule type="expression" dxfId="70" priority="2">
      <formula>(MONTH(TODAY())=MONTH(M26))*(DAY(TODAY())=DAY(M26))</formula>
    </cfRule>
  </conditionalFormatting>
  <conditionalFormatting sqref="M26">
    <cfRule type="expression" dxfId="69" priority="1">
      <formula>(MONTH(TODAY())=MONTH(#REF!))*(DAY(TODAY())=DAY(#REF!))</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fitToWidth="0" fitToHeight="0" orientation="landscape"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3C47C663-9A86-4A2C-A692-360FEB0BA20F}">
          <x14:formula1>
            <xm:f>Parámetros!$AA$2:$AA$10</xm:f>
          </x14:formula1>
          <xm:sqref>P4:P1099</xm:sqref>
        </x14:dataValidation>
        <x14:dataValidation type="list" allowBlank="1" showInputMessage="1" showErrorMessage="1" xr:uid="{99282D1C-DA0E-4A90-85D6-5067E9541C30}">
          <x14:formula1>
            <xm:f>Parámetros!$G$2:$G$10</xm:f>
          </x14:formula1>
          <xm:sqref>Y4:AN1099</xm:sqref>
        </x14:dataValidation>
        <x14:dataValidation type="list" allowBlank="1" showInputMessage="1" showErrorMessage="1" xr:uid="{C2D4B905-6AA2-486D-8719-801F30AA5334}">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437C-BBAA-4E4C-AC07-A0011C1815D1}">
  <sheetPr codeName="Hoja2">
    <tabColor theme="9" tint="-0.499984740745262"/>
  </sheetPr>
  <dimension ref="A1:WVX27"/>
  <sheetViews>
    <sheetView tabSelected="1" zoomScale="85" zoomScaleNormal="85" workbookViewId="0">
      <selection activeCell="G11" sqref="G11"/>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Huancayo - El Tambo</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195</v>
      </c>
      <c r="C4" s="36" t="s">
        <v>196</v>
      </c>
      <c r="D4" s="36" t="s">
        <v>197</v>
      </c>
      <c r="E4" s="35" t="s">
        <v>198</v>
      </c>
      <c r="F4" s="35" t="s">
        <v>73</v>
      </c>
      <c r="G4" s="35" t="s">
        <v>154</v>
      </c>
      <c r="H4" s="35" t="s">
        <v>182</v>
      </c>
      <c r="I4" s="35" t="s">
        <v>199</v>
      </c>
      <c r="J4" s="35" t="s">
        <v>200</v>
      </c>
      <c r="K4" s="35" t="s">
        <v>201</v>
      </c>
      <c r="L4" s="35" t="s">
        <v>202</v>
      </c>
      <c r="M4" s="35" t="s">
        <v>203</v>
      </c>
      <c r="N4" s="35" t="s">
        <v>204</v>
      </c>
      <c r="O4" s="35" t="s">
        <v>205</v>
      </c>
      <c r="P4" s="35" t="s">
        <v>206</v>
      </c>
      <c r="Q4" s="35" t="s">
        <v>198</v>
      </c>
      <c r="R4" s="57" t="s">
        <v>207</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208</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22</v>
      </c>
      <c r="I5" s="295">
        <f t="shared" si="0"/>
        <v>25</v>
      </c>
      <c r="J5" s="295">
        <f t="shared" si="0"/>
        <v>25</v>
      </c>
      <c r="K5" s="295">
        <f t="shared" si="0"/>
        <v>25</v>
      </c>
      <c r="L5" s="295">
        <f t="shared" si="0"/>
        <v>25</v>
      </c>
      <c r="M5" s="295">
        <f t="shared" si="0"/>
        <v>25</v>
      </c>
      <c r="N5" s="295">
        <f t="shared" si="0"/>
        <v>25</v>
      </c>
      <c r="O5" s="295">
        <f t="shared" si="0"/>
        <v>25</v>
      </c>
      <c r="P5" s="295">
        <f t="shared" si="0"/>
        <v>25</v>
      </c>
      <c r="Q5" s="295">
        <f t="shared" si="0"/>
        <v>25</v>
      </c>
      <c r="R5" s="56" t="str">
        <f>+Probacionistas!$B$1</f>
        <v>Huancayo - El Tambo</v>
      </c>
    </row>
    <row r="6" spans="1:16144">
      <c r="A6" s="3"/>
      <c r="B6" s="9"/>
      <c r="C6" s="4"/>
      <c r="D6" s="4"/>
      <c r="E6" s="6"/>
      <c r="F6" s="6"/>
      <c r="G6" s="6"/>
      <c r="H6" s="6"/>
      <c r="I6" s="6"/>
      <c r="J6" s="6"/>
      <c r="K6" s="6"/>
      <c r="L6" s="6"/>
      <c r="M6" s="6"/>
      <c r="N6" s="6"/>
      <c r="O6" s="6"/>
      <c r="P6" s="6"/>
      <c r="Q6" s="6"/>
      <c r="R6" s="56" t="str">
        <f>+Probacionistas!$B$1</f>
        <v>Huancayo - El Tambo</v>
      </c>
    </row>
    <row r="7" spans="1:16144">
      <c r="A7" s="3">
        <v>2.8</v>
      </c>
      <c r="B7" s="296" t="s">
        <v>209</v>
      </c>
      <c r="C7" s="4">
        <f>+SUM(F7:K7)</f>
        <v>22</v>
      </c>
      <c r="D7" s="4">
        <f>+SUM(F7:Q7)</f>
        <v>22</v>
      </c>
      <c r="E7" s="8">
        <v>0</v>
      </c>
      <c r="F7" s="295">
        <f>COUNTIFS(Probacionistas!$AP:$AP,"&lt;&gt;"" ",Probacionistas!$P:$P,"Inscrito nuevo",Probacionistas!$F:$F,"&gt;="&amp;DATEVALUE("01/"&amp;F3&amp;"/"&amp;$F$2),Probacionistas!$F:$F,"&lt;="&amp;EOMONTH(DATEVALUE("01/"&amp;F3&amp;"/"&amp;$F$2),0))</f>
        <v>13</v>
      </c>
      <c r="G7" s="295">
        <f>COUNTIFS(Probacionistas!$AP:$AP,"&lt;&gt;"" ",Probacionistas!$P:$P,"Inscrito nuevo",Probacionistas!$F:$F,"&gt;="&amp;DATEVALUE("01/"&amp;G3&amp;"/"&amp;$F$2),Probacionistas!$F:$F,"&lt;="&amp;EOMONTH(DATEVALUE("01/"&amp;G3&amp;"/"&amp;$F$2),0))</f>
        <v>6</v>
      </c>
      <c r="H7" s="295">
        <f>COUNTIFS(Probacionistas!$AP:$AP,"&lt;&gt;"" ",Probacionistas!$P:$P,"Inscrito nuevo",Probacionistas!$F:$F,"&gt;="&amp;DATEVALUE("01/"&amp;H3&amp;"/"&amp;$F$2),Probacionistas!$F:$F,"&lt;="&amp;EOMONTH(DATEVALUE("01/"&amp;H3&amp;"/"&amp;$F$2),0))</f>
        <v>3</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Huancayo - El Tambo</v>
      </c>
      <c r="S7" s="62"/>
    </row>
    <row r="8" spans="1:16144">
      <c r="A8" s="3">
        <v>2.82</v>
      </c>
      <c r="B8" s="296" t="s">
        <v>210</v>
      </c>
      <c r="C8" s="4">
        <f ca="1">+SUM(F8:K8)</f>
        <v>64</v>
      </c>
      <c r="D8" s="4">
        <f ca="1">+SUM(F8:Q8)</f>
        <v>64</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10</v>
      </c>
      <c r="G8" s="295">
        <f ca="1">COUNTIFS(Probacionistas!$P:$P,"Inscrito nuevo",Probacionistas!$AP:$AP,"Asistió",Probacionistas!$F:$F,"&lt;="&amp;EOMONTH(DATEVALUE("01/"&amp;G3&amp;"/"&amp;$F$2),0),Probacionistas!$V:$V,"&gt;="&amp;DATEVALUE("01/"&amp;G3&amp;"/"&amp;$F$2),Probacionistas!$N:$N, "&lt;="&amp;"28")</f>
        <v>16</v>
      </c>
      <c r="H8" s="295">
        <f ca="1">COUNTIFS(Probacionistas!$P:$P,"Inscrito nuevo",Probacionistas!$AP:$AP,"Asistió",Probacionistas!$F:$F,"&lt;="&amp;EOMONTH(DATEVALUE("01/"&amp;H3&amp;"/"&amp;$F$2),0),Probacionistas!$V:$V,"&gt;="&amp;DATEVALUE("01/"&amp;H3&amp;"/"&amp;$F$2),Probacionistas!$N:$N, "&lt;="&amp;"28")</f>
        <v>16</v>
      </c>
      <c r="I8" s="295">
        <f ca="1">COUNTIFS(Probacionistas!$P:$P,"Inscrito nuevo",Probacionistas!$AP:$AP,"Asistió",Probacionistas!$F:$F,"&lt;="&amp;EOMONTH(DATEVALUE("01/"&amp;I3&amp;"/"&amp;$F$2),0),Probacionistas!$V:$V,"&gt;="&amp;DATEVALUE("01/"&amp;I3&amp;"/"&amp;$F$2),Probacionistas!$N:$N, "&lt;="&amp;"28")</f>
        <v>16</v>
      </c>
      <c r="J8" s="295">
        <f ca="1">COUNTIFS(Probacionistas!$P:$P,"Inscrito nuevo",Probacionistas!$AP:$AP,"Asistió",Probacionistas!$F:$F,"&lt;="&amp;EOMONTH(DATEVALUE("01/"&amp;J3&amp;"/"&amp;$F$2),0),Probacionistas!$V:$V,"&gt;="&amp;DATEVALUE("01/"&amp;J3&amp;"/"&amp;$F$2),Probacionistas!$N:$N, "&lt;="&amp;"28")</f>
        <v>6</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Huancayo - El Tambo</v>
      </c>
    </row>
    <row r="9" spans="1:16144">
      <c r="A9" s="306"/>
      <c r="B9" s="296"/>
      <c r="C9" s="307"/>
      <c r="D9" s="307"/>
      <c r="E9" s="295"/>
      <c r="F9" s="295"/>
      <c r="G9" s="295"/>
      <c r="H9" s="295"/>
      <c r="I9" s="295"/>
      <c r="J9" s="295"/>
      <c r="K9" s="295"/>
      <c r="L9" s="295"/>
      <c r="M9" s="295"/>
      <c r="N9" s="295"/>
      <c r="O9" s="295"/>
      <c r="P9" s="295"/>
      <c r="Q9" s="295"/>
      <c r="R9" s="56" t="str">
        <f>+Probacionistas!$B$1</f>
        <v>Huancayo - El Tambo</v>
      </c>
    </row>
    <row r="10" spans="1:16144">
      <c r="A10" s="297">
        <v>2.101</v>
      </c>
      <c r="B10" s="298" t="s">
        <v>211</v>
      </c>
      <c r="C10" s="4">
        <f>+SUM(F10:K10)</f>
        <v>25</v>
      </c>
      <c r="D10" s="4">
        <f>+SUM(F10:Q10)</f>
        <v>25</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22</v>
      </c>
      <c r="H10" s="295">
        <f>COUNTIFS(Probacionistas!$AP:$AP,"&lt;&gt;"" ",Probacionistas!$BJ:$BJ,"ALTA",Probacionistas!$BI:$BI,"&gt;="&amp;DATEVALUE("01/"&amp;H3&amp;"/"&amp;$F$2),Probacionistas!$BI:$BI,"&lt;="&amp;EOMONTH(DATEVALUE("01/"&amp;H3&amp;"/"&amp;$F$2),0),Probacionistas!$BH:$BH,"FALSO")</f>
        <v>3</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Huancayo - El Tambo</v>
      </c>
    </row>
    <row r="11" spans="1:16144">
      <c r="A11" s="297">
        <v>2.11</v>
      </c>
      <c r="B11" s="299" t="s">
        <v>212</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Huancayo - El Tambo</v>
      </c>
    </row>
    <row r="12" spans="1:16144">
      <c r="A12" s="297">
        <v>2.12</v>
      </c>
      <c r="B12" s="300" t="s">
        <v>213</v>
      </c>
      <c r="C12" s="4">
        <f>+C5+C10-C11-C13</f>
        <v>25</v>
      </c>
      <c r="D12" s="4">
        <f>+D5+D10-D11-D13</f>
        <v>25</v>
      </c>
      <c r="E12" s="22"/>
      <c r="F12" s="295">
        <f t="shared" ref="F12:Q12" si="1">+F5+F10-F11-F13</f>
        <v>0</v>
      </c>
      <c r="G12" s="295">
        <f t="shared" si="1"/>
        <v>22</v>
      </c>
      <c r="H12" s="295">
        <f t="shared" si="1"/>
        <v>25</v>
      </c>
      <c r="I12" s="295">
        <f t="shared" si="1"/>
        <v>25</v>
      </c>
      <c r="J12" s="295">
        <f t="shared" si="1"/>
        <v>25</v>
      </c>
      <c r="K12" s="295">
        <f t="shared" si="1"/>
        <v>25</v>
      </c>
      <c r="L12" s="295">
        <f t="shared" si="1"/>
        <v>25</v>
      </c>
      <c r="M12" s="295">
        <f t="shared" si="1"/>
        <v>25</v>
      </c>
      <c r="N12" s="295">
        <f t="shared" si="1"/>
        <v>25</v>
      </c>
      <c r="O12" s="295">
        <f t="shared" si="1"/>
        <v>25</v>
      </c>
      <c r="P12" s="295">
        <f t="shared" si="1"/>
        <v>25</v>
      </c>
      <c r="Q12" s="295">
        <f t="shared" si="1"/>
        <v>25</v>
      </c>
      <c r="R12" s="56" t="str">
        <f>+Probacionistas!$B$1</f>
        <v>Huancayo - El Tambo</v>
      </c>
    </row>
    <row r="13" spans="1:16144">
      <c r="A13" s="297">
        <v>2.13</v>
      </c>
      <c r="B13" s="300" t="s">
        <v>214</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Huancayo - El Tambo</v>
      </c>
    </row>
    <row r="14" spans="1:16144">
      <c r="A14" s="297">
        <v>2.14</v>
      </c>
      <c r="B14" s="300" t="s">
        <v>215</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Huancayo - El Tambo</v>
      </c>
    </row>
    <row r="15" spans="1:16144">
      <c r="A15" s="297">
        <v>2.15</v>
      </c>
      <c r="B15" s="300" t="s">
        <v>216</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Huancayo - El Tambo</v>
      </c>
    </row>
    <row r="16" spans="1:16144">
      <c r="A16" s="297">
        <v>2.16</v>
      </c>
      <c r="B16" s="296" t="s">
        <v>217</v>
      </c>
      <c r="C16" s="4">
        <f>+SUM(E16:L16)</f>
        <v>16</v>
      </c>
      <c r="D16" s="4">
        <f>+SUM(E16:Q16)</f>
        <v>16</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3</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4</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4</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Huancayo - El Tambo</v>
      </c>
    </row>
    <row r="17" spans="1:18">
      <c r="A17" s="303">
        <v>1</v>
      </c>
      <c r="B17" s="296" t="s">
        <v>218</v>
      </c>
      <c r="C17" s="4">
        <f>+SUM(F17:K17)</f>
        <v>4</v>
      </c>
      <c r="D17" s="4">
        <f>+SUM(F17:Q17)</f>
        <v>4</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Huancayo - El Tambo</v>
      </c>
    </row>
    <row r="18" spans="1:18">
      <c r="A18" s="297">
        <v>2.17</v>
      </c>
      <c r="B18" s="304" t="s">
        <v>219</v>
      </c>
      <c r="C18" s="4">
        <f>+SUM(F18:K18)</f>
        <v>4</v>
      </c>
      <c r="D18" s="4">
        <f>+SUM(F18:Q18)</f>
        <v>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1</v>
      </c>
      <c r="H18" s="295" cm="1">
        <f t="array" ref="H18">IFERROR(ROWS(_xlfn.UNIQUE(_xlfn._xlws.FILTER(_xlfn.VSTACK(Tabla1[Ética], Tabla1[Soc - FH]),
      (MONTH(_xlfn.VSTACK(Tabla1[Fecha Inicio grupo], Tabla1[Fecha Inicio grupo])) = MONTH(DATEVALUE("01/"&amp;H3&amp;"/"&amp;$F$2))    ) * (_xlfn.VSTACK(Tabla1[Ética], Tabla1[Soc - FH]) &lt;&gt; "")))),0)</f>
        <v>1</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Huancayo - El Tambo</v>
      </c>
    </row>
    <row r="19" spans="1:18">
      <c r="A19" s="297"/>
      <c r="B19" s="3" t="s">
        <v>220</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Huancayo - El Tambo</v>
      </c>
    </row>
    <row r="20" spans="1:18">
      <c r="A20" s="297">
        <v>2.1800000000000002</v>
      </c>
      <c r="B20" s="7" t="s">
        <v>221</v>
      </c>
      <c r="C20" s="4">
        <f t="shared" ref="C20:C27" si="4">+SUM(F20:K20)</f>
        <v>9</v>
      </c>
      <c r="D20" s="4">
        <f t="shared" ref="D20:D27" si="5">+SUM(F20:Q20)</f>
        <v>9</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3</v>
      </c>
      <c r="G20" s="295">
        <f>COUNTIFS(Probacionistas!$AP:$AP,"&lt;&gt;"" ",Probacionistas!$P:$P,"Inscrito nuevo",Probacionistas!$BC:$BC,"Redes sociales",Probacionistas!$F:$F,"&gt;="&amp;DATEVALUE("01/"&amp;G3&amp;"/"&amp;$F$2),Probacionistas!$F:$F,"&lt;="&amp;EOMONTH(DATEVALUE("01/"&amp;G3&amp;"/"&amp;$F$2),0))</f>
        <v>3</v>
      </c>
      <c r="H20" s="295">
        <f>COUNTIFS(Probacionistas!$AP:$AP,"&lt;&gt;"" ",Probacionistas!$P:$P,"Inscrito nuevo",Probacionistas!$BC:$BC,"Redes sociales",Probacionistas!$F:$F,"&gt;="&amp;DATEVALUE("01/"&amp;H3&amp;"/"&amp;$F$2),Probacionistas!$F:$F,"&lt;="&amp;EOMONTH(DATEVALUE("01/"&amp;H3&amp;"/"&amp;$F$2),0))</f>
        <v>3</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Huancayo - El Tambo</v>
      </c>
    </row>
    <row r="21" spans="1:18">
      <c r="A21" s="297">
        <v>2.19</v>
      </c>
      <c r="B21" s="165" t="s">
        <v>222</v>
      </c>
      <c r="C21" s="4">
        <f t="shared" si="4"/>
        <v>1</v>
      </c>
      <c r="D21" s="4">
        <f t="shared" si="5"/>
        <v>1</v>
      </c>
      <c r="E21" s="3"/>
      <c r="F21" s="295">
        <f>COUNTIFS(Probacionistas!$AP:$AP,"&lt;&gt;"" ",Probacionistas!$P:$P,"Inscrito nuevo",Probacionistas!$BC:$BC,"Propag.Impresa",Probacionistas!$F:$F,"&gt;="&amp;DATEVALUE("01/"&amp;F3&amp;"/"&amp;$F$2),Probacionistas!$F:$F,"&lt;="&amp;EOMONTH(DATEVALUE("01/"&amp;F3&amp;"/"&amp;$F$2),0))</f>
        <v>1</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Huancayo - El Tambo</v>
      </c>
    </row>
    <row r="22" spans="1:18">
      <c r="A22" s="297">
        <v>2.2000000000000002</v>
      </c>
      <c r="B22" s="7" t="s">
        <v>223</v>
      </c>
      <c r="C22" s="4">
        <f t="shared" si="4"/>
        <v>10</v>
      </c>
      <c r="D22" s="4">
        <f t="shared" si="5"/>
        <v>10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8</v>
      </c>
      <c r="G22" s="295">
        <f>COUNTIFS(Probacionistas!$AP:$AP,"&lt;&gt;"" ",Probacionistas!$P:$P,"Inscrito nuevo",Probacionistas!$BC:$BC,"Contacto Personal",Probacionistas!$F:$F,"&gt;="&amp;DATEVALUE("01/"&amp;G3&amp;"/"&amp;$F$2),Probacionistas!$F:$F,"&lt;="&amp;EOMONTH(DATEVALUE("01/"&amp;G3&amp;"/"&amp;$F$2),0))</f>
        <v>2</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Huancayo - El Tambo</v>
      </c>
    </row>
    <row r="23" spans="1:18">
      <c r="A23" s="297">
        <v>2.21</v>
      </c>
      <c r="B23" s="7" t="s">
        <v>224</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Huancayo - El Tambo</v>
      </c>
    </row>
    <row r="24" spans="1:18">
      <c r="A24" s="297">
        <v>2.2200000000000002</v>
      </c>
      <c r="B24" s="7" t="s">
        <v>225</v>
      </c>
      <c r="C24" s="4">
        <f t="shared" si="4"/>
        <v>1</v>
      </c>
      <c r="D24" s="4">
        <f t="shared" si="5"/>
        <v>1</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1</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Huancayo - El Tambo</v>
      </c>
    </row>
    <row r="25" spans="1:18">
      <c r="A25" s="297">
        <v>2.23</v>
      </c>
      <c r="B25" s="10" t="s">
        <v>226</v>
      </c>
      <c r="C25" s="4">
        <f t="shared" si="4"/>
        <v>1</v>
      </c>
      <c r="D25" s="4">
        <f t="shared" si="5"/>
        <v>1</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1</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Huancayo - El Tambo</v>
      </c>
    </row>
    <row r="26" spans="1:18">
      <c r="A26" s="297">
        <v>2.2400000000000002</v>
      </c>
      <c r="B26" s="10" t="s">
        <v>227</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Huancayo - El Tambo</v>
      </c>
    </row>
    <row r="27" spans="1:18">
      <c r="A27" s="297">
        <v>2.25</v>
      </c>
      <c r="B27" s="166" t="s">
        <v>228</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Huancayo - El Tambo</v>
      </c>
    </row>
  </sheetData>
  <sheetProtection algorithmName="SHA-512" hashValue="2eSTjdpazrk2X1wLsW9QoqCULNnc+F/+nRMI9Z8b3tdflKNry0TQKgI5QLhj6ZQ0tMpaPD47FAwvSDZTzHnwGg==" saltValue="HmG4HHNf70q198VANL15S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229</v>
      </c>
      <c r="C1" s="115" t="s">
        <v>230</v>
      </c>
      <c r="D1" s="135" t="s">
        <v>15</v>
      </c>
      <c r="E1" s="214" t="s">
        <v>23</v>
      </c>
      <c r="G1" s="134" t="s">
        <v>231</v>
      </c>
      <c r="H1" s="115" t="s">
        <v>232</v>
      </c>
      <c r="J1" s="121" t="s">
        <v>233</v>
      </c>
      <c r="K1" s="122" t="s">
        <v>234</v>
      </c>
      <c r="L1" s="122" t="s">
        <v>235</v>
      </c>
      <c r="M1" s="122" t="s">
        <v>236</v>
      </c>
      <c r="N1" s="120" t="s">
        <v>237</v>
      </c>
      <c r="P1" s="133" t="s">
        <v>238</v>
      </c>
      <c r="R1" s="223" t="s">
        <v>207</v>
      </c>
      <c r="S1" s="224" t="s">
        <v>239</v>
      </c>
      <c r="U1" s="111" t="s">
        <v>240</v>
      </c>
      <c r="V1" s="137" t="s">
        <v>241</v>
      </c>
      <c r="W1" s="159" t="s">
        <v>242</v>
      </c>
      <c r="X1" s="160" t="s">
        <v>232</v>
      </c>
      <c r="Y1" s="161" t="s">
        <v>243</v>
      </c>
      <c r="AA1" s="110" t="s">
        <v>244</v>
      </c>
      <c r="AC1" s="110" t="s">
        <v>245</v>
      </c>
      <c r="AE1" s="171" t="s">
        <v>12</v>
      </c>
      <c r="AF1" s="172" t="s">
        <v>246</v>
      </c>
      <c r="AH1" s="173" t="s">
        <v>13</v>
      </c>
      <c r="AI1" s="174" t="s">
        <v>246</v>
      </c>
      <c r="AK1" s="274" t="s">
        <v>53</v>
      </c>
      <c r="AM1" s="291" t="s">
        <v>53</v>
      </c>
      <c r="AN1" s="291" t="s">
        <v>247</v>
      </c>
    </row>
    <row r="2" spans="1:40" ht="24">
      <c r="A2" s="158" t="s">
        <v>248</v>
      </c>
      <c r="B2" s="116">
        <v>1</v>
      </c>
      <c r="C2" s="156" t="s">
        <v>82</v>
      </c>
      <c r="D2" s="277"/>
      <c r="E2" s="215" t="s">
        <v>80</v>
      </c>
      <c r="G2" s="268" t="s">
        <v>83</v>
      </c>
      <c r="H2" s="268" t="s">
        <v>249</v>
      </c>
      <c r="J2" s="123" t="s">
        <v>83</v>
      </c>
      <c r="K2" s="112" t="s">
        <v>83</v>
      </c>
      <c r="L2" s="112" t="s">
        <v>83</v>
      </c>
      <c r="M2" s="112" t="str">
        <f>+J2&amp;K2&amp;L2</f>
        <v>PPP</v>
      </c>
      <c r="N2" s="124" t="s">
        <v>250</v>
      </c>
      <c r="P2" s="230" t="s">
        <v>251</v>
      </c>
      <c r="R2" s="225" t="s">
        <v>252</v>
      </c>
      <c r="S2" s="226">
        <v>5</v>
      </c>
      <c r="U2" s="219" t="s">
        <v>253</v>
      </c>
      <c r="V2" s="220" t="s">
        <v>254</v>
      </c>
      <c r="W2" s="142" t="s">
        <v>255</v>
      </c>
      <c r="X2" s="140" t="s">
        <v>256</v>
      </c>
      <c r="Y2" s="136" t="s">
        <v>257</v>
      </c>
      <c r="AA2" s="269" t="s">
        <v>181</v>
      </c>
      <c r="AC2" s="139" t="s">
        <v>73</v>
      </c>
      <c r="AE2" s="175" t="s">
        <v>74</v>
      </c>
      <c r="AF2" s="176" t="s">
        <v>74</v>
      </c>
      <c r="AH2" s="177" t="s">
        <v>258</v>
      </c>
      <c r="AI2" s="178" t="s">
        <v>259</v>
      </c>
      <c r="AK2" s="275" t="s">
        <v>260</v>
      </c>
      <c r="AM2" s="275" t="s">
        <v>260</v>
      </c>
      <c r="AN2" s="292">
        <v>45658</v>
      </c>
    </row>
    <row r="3" spans="1:40" ht="14.45">
      <c r="A3" s="208" t="s">
        <v>72</v>
      </c>
      <c r="B3" s="116">
        <v>2</v>
      </c>
      <c r="C3" s="117" t="s">
        <v>139</v>
      </c>
      <c r="D3" s="277"/>
      <c r="E3" s="216" t="s">
        <v>261</v>
      </c>
      <c r="G3" s="268" t="s">
        <v>140</v>
      </c>
      <c r="H3" s="268" t="s">
        <v>181</v>
      </c>
      <c r="J3" s="125" t="s">
        <v>83</v>
      </c>
      <c r="K3" s="26" t="s">
        <v>83</v>
      </c>
      <c r="L3" s="26" t="s">
        <v>84</v>
      </c>
      <c r="M3" s="26" t="str">
        <f t="shared" ref="M3:M17" si="0">+J3&amp;K3&amp;L3</f>
        <v>PPF</v>
      </c>
      <c r="N3" s="126" t="s">
        <v>250</v>
      </c>
      <c r="P3" s="230" t="s">
        <v>85</v>
      </c>
      <c r="R3" s="225" t="s">
        <v>262</v>
      </c>
      <c r="S3" s="226" t="s">
        <v>263</v>
      </c>
      <c r="U3" s="221" t="s">
        <v>264</v>
      </c>
      <c r="V3" s="222" t="s">
        <v>264</v>
      </c>
      <c r="W3" s="142" t="s">
        <v>265</v>
      </c>
      <c r="X3" s="140" t="s">
        <v>266</v>
      </c>
      <c r="Y3" s="136"/>
      <c r="AA3" s="270" t="s">
        <v>81</v>
      </c>
      <c r="AC3" s="139" t="s">
        <v>154</v>
      </c>
      <c r="AE3" s="175" t="s">
        <v>267</v>
      </c>
      <c r="AF3" s="176" t="s">
        <v>268</v>
      </c>
      <c r="AH3" s="177" t="s">
        <v>269</v>
      </c>
      <c r="AI3" s="178" t="s">
        <v>270</v>
      </c>
      <c r="AK3" s="276" t="s">
        <v>271</v>
      </c>
      <c r="AM3" s="276" t="s">
        <v>271</v>
      </c>
      <c r="AN3" s="292">
        <v>45689</v>
      </c>
    </row>
    <row r="4" spans="1:40" ht="14.45">
      <c r="A4" s="158" t="s">
        <v>272</v>
      </c>
      <c r="B4" s="207">
        <v>3</v>
      </c>
      <c r="C4" s="117"/>
      <c r="D4" s="277"/>
      <c r="E4" s="217" t="s">
        <v>273</v>
      </c>
      <c r="G4" s="268" t="s">
        <v>84</v>
      </c>
      <c r="H4" s="268" t="s">
        <v>274</v>
      </c>
      <c r="J4" s="125" t="s">
        <v>83</v>
      </c>
      <c r="K4" s="26" t="s">
        <v>84</v>
      </c>
      <c r="L4" s="26" t="s">
        <v>83</v>
      </c>
      <c r="M4" s="26" t="str">
        <f t="shared" si="0"/>
        <v>PFP</v>
      </c>
      <c r="N4" s="126" t="s">
        <v>250</v>
      </c>
      <c r="P4" s="230" t="s">
        <v>168</v>
      </c>
      <c r="R4" s="225" t="s">
        <v>275</v>
      </c>
      <c r="S4" s="226" t="s">
        <v>276</v>
      </c>
      <c r="U4" s="221" t="s">
        <v>277</v>
      </c>
      <c r="V4" s="222" t="s">
        <v>278</v>
      </c>
      <c r="W4" s="142" t="s">
        <v>279</v>
      </c>
      <c r="X4" s="140" t="s">
        <v>280</v>
      </c>
      <c r="Y4" s="136"/>
      <c r="AA4" s="271" t="s">
        <v>281</v>
      </c>
      <c r="AC4" s="139" t="s">
        <v>182</v>
      </c>
      <c r="AE4" s="175" t="s">
        <v>282</v>
      </c>
      <c r="AF4" s="179" t="s">
        <v>283</v>
      </c>
      <c r="AH4" s="177"/>
      <c r="AI4" s="180" t="s">
        <v>284</v>
      </c>
      <c r="AK4" s="275" t="s">
        <v>285</v>
      </c>
      <c r="AM4" s="275" t="s">
        <v>285</v>
      </c>
      <c r="AN4" s="292">
        <v>45717</v>
      </c>
    </row>
    <row r="5" spans="1:40" ht="24">
      <c r="B5" s="116">
        <v>4</v>
      </c>
      <c r="C5" s="117"/>
      <c r="D5" s="277"/>
      <c r="E5" s="217" t="s">
        <v>286</v>
      </c>
      <c r="G5" s="268" t="s">
        <v>120</v>
      </c>
      <c r="H5" s="268" t="s">
        <v>287</v>
      </c>
      <c r="J5" s="127" t="s">
        <v>83</v>
      </c>
      <c r="K5" s="25" t="s">
        <v>84</v>
      </c>
      <c r="L5" s="25" t="s">
        <v>84</v>
      </c>
      <c r="M5" s="25" t="str">
        <f t="shared" si="0"/>
        <v>PFF</v>
      </c>
      <c r="N5" s="128" t="s">
        <v>288</v>
      </c>
      <c r="P5" s="230" t="s">
        <v>289</v>
      </c>
      <c r="R5" s="225" t="s">
        <v>290</v>
      </c>
      <c r="S5" s="226" t="s">
        <v>291</v>
      </c>
      <c r="U5" s="221" t="s">
        <v>292</v>
      </c>
      <c r="V5" s="222" t="s">
        <v>253</v>
      </c>
      <c r="W5" s="142" t="s">
        <v>293</v>
      </c>
      <c r="X5" s="140" t="s">
        <v>294</v>
      </c>
      <c r="Y5" s="136"/>
      <c r="AA5" s="272" t="s">
        <v>135</v>
      </c>
      <c r="AC5" s="139" t="s">
        <v>199</v>
      </c>
      <c r="AE5" s="181" t="s">
        <v>295</v>
      </c>
      <c r="AH5" s="182"/>
      <c r="AK5" s="275" t="s">
        <v>296</v>
      </c>
      <c r="AM5" s="275" t="s">
        <v>296</v>
      </c>
      <c r="AN5" s="292">
        <v>45748</v>
      </c>
    </row>
    <row r="6" spans="1:40" ht="24">
      <c r="B6" s="116">
        <v>5</v>
      </c>
      <c r="C6" s="117"/>
      <c r="D6" s="277"/>
      <c r="E6" s="216" t="s">
        <v>297</v>
      </c>
      <c r="G6" s="268" t="s">
        <v>298</v>
      </c>
      <c r="H6" s="268" t="s">
        <v>299</v>
      </c>
      <c r="J6" s="125" t="s">
        <v>84</v>
      </c>
      <c r="K6" s="26" t="s">
        <v>83</v>
      </c>
      <c r="L6" s="26" t="s">
        <v>83</v>
      </c>
      <c r="M6" s="26" t="str">
        <f t="shared" si="0"/>
        <v>FPP</v>
      </c>
      <c r="N6" s="126" t="s">
        <v>250</v>
      </c>
      <c r="P6" s="34" t="s">
        <v>300</v>
      </c>
      <c r="R6" s="225" t="s">
        <v>301</v>
      </c>
      <c r="S6" s="226" t="s">
        <v>263</v>
      </c>
      <c r="W6" s="142" t="s">
        <v>302</v>
      </c>
      <c r="X6" s="140" t="s">
        <v>303</v>
      </c>
      <c r="Y6" s="136" t="s">
        <v>257</v>
      </c>
      <c r="AA6" s="273" t="s">
        <v>304</v>
      </c>
      <c r="AC6" s="139" t="s">
        <v>200</v>
      </c>
      <c r="AE6" s="181"/>
      <c r="AH6" s="182"/>
      <c r="AK6" s="275" t="s">
        <v>305</v>
      </c>
      <c r="AM6" s="275" t="s">
        <v>305</v>
      </c>
      <c r="AN6" s="292">
        <v>45778</v>
      </c>
    </row>
    <row r="7" spans="1:40" ht="14.45">
      <c r="B7" s="116">
        <v>6</v>
      </c>
      <c r="C7" s="117"/>
      <c r="D7" s="277"/>
      <c r="E7" s="216" t="s">
        <v>306</v>
      </c>
      <c r="G7" s="268"/>
      <c r="H7" s="268" t="s">
        <v>307</v>
      </c>
      <c r="J7" s="127" t="s">
        <v>84</v>
      </c>
      <c r="K7" s="25" t="s">
        <v>83</v>
      </c>
      <c r="L7" s="25" t="s">
        <v>84</v>
      </c>
      <c r="M7" s="25" t="str">
        <f t="shared" si="0"/>
        <v>FPF</v>
      </c>
      <c r="N7" s="128" t="s">
        <v>288</v>
      </c>
      <c r="P7" s="230" t="s">
        <v>121</v>
      </c>
      <c r="R7" s="225" t="s">
        <v>308</v>
      </c>
      <c r="S7" s="226">
        <v>6</v>
      </c>
      <c r="W7" s="142" t="s">
        <v>309</v>
      </c>
      <c r="X7" s="140" t="s">
        <v>310</v>
      </c>
      <c r="Y7" s="136"/>
      <c r="AC7" s="139" t="s">
        <v>201</v>
      </c>
      <c r="AE7" s="181"/>
      <c r="AH7" s="182"/>
      <c r="AK7" s="268" t="s">
        <v>311</v>
      </c>
      <c r="AM7" s="268" t="s">
        <v>311</v>
      </c>
      <c r="AN7" s="292">
        <v>45809</v>
      </c>
    </row>
    <row r="8" spans="1:40" ht="24.6" thickBot="1">
      <c r="B8" s="116">
        <v>7</v>
      </c>
      <c r="C8" s="117"/>
      <c r="D8" s="277"/>
      <c r="E8" s="217" t="s">
        <v>312</v>
      </c>
      <c r="J8" s="125" t="s">
        <v>84</v>
      </c>
      <c r="K8" s="26" t="s">
        <v>84</v>
      </c>
      <c r="L8" s="26" t="s">
        <v>83</v>
      </c>
      <c r="M8" s="26" t="str">
        <f t="shared" si="0"/>
        <v>FFP</v>
      </c>
      <c r="N8" s="126" t="s">
        <v>250</v>
      </c>
      <c r="P8" s="230" t="s">
        <v>98</v>
      </c>
      <c r="R8" s="225" t="s">
        <v>313</v>
      </c>
      <c r="S8" s="226" t="s">
        <v>276</v>
      </c>
      <c r="W8" s="143" t="s">
        <v>314</v>
      </c>
      <c r="X8" s="141" t="s">
        <v>315</v>
      </c>
      <c r="Y8" s="138" t="s">
        <v>316</v>
      </c>
      <c r="AC8" s="139" t="s">
        <v>202</v>
      </c>
      <c r="AE8" s="181"/>
      <c r="AH8" s="182"/>
      <c r="AK8" s="268" t="s">
        <v>317</v>
      </c>
      <c r="AM8" s="268" t="s">
        <v>317</v>
      </c>
      <c r="AN8" s="292">
        <v>45839</v>
      </c>
    </row>
    <row r="9" spans="1:40" ht="14.45">
      <c r="B9" s="116">
        <v>8</v>
      </c>
      <c r="C9" s="117"/>
      <c r="D9" s="277"/>
      <c r="E9" s="217" t="s">
        <v>318</v>
      </c>
      <c r="J9" s="127" t="s">
        <v>84</v>
      </c>
      <c r="K9" s="25" t="s">
        <v>84</v>
      </c>
      <c r="L9" s="25" t="s">
        <v>84</v>
      </c>
      <c r="M9" s="25" t="str">
        <f t="shared" si="0"/>
        <v>FFF</v>
      </c>
      <c r="N9" s="128" t="s">
        <v>288</v>
      </c>
      <c r="P9" s="230" t="s">
        <v>103</v>
      </c>
      <c r="R9" s="225" t="s">
        <v>319</v>
      </c>
      <c r="S9" s="226" t="s">
        <v>276</v>
      </c>
      <c r="AC9" s="139" t="s">
        <v>203</v>
      </c>
      <c r="AE9" s="181"/>
      <c r="AH9" s="182"/>
      <c r="AK9" s="268" t="s">
        <v>320</v>
      </c>
      <c r="AM9" s="268" t="s">
        <v>320</v>
      </c>
      <c r="AN9" s="292">
        <v>45870</v>
      </c>
    </row>
    <row r="10" spans="1:40" ht="14.45">
      <c r="B10" s="116">
        <v>9</v>
      </c>
      <c r="C10" s="117"/>
      <c r="D10" s="277"/>
      <c r="E10" s="216" t="s">
        <v>321</v>
      </c>
      <c r="J10" s="127"/>
      <c r="K10" s="25"/>
      <c r="L10" s="25"/>
      <c r="M10" s="25"/>
      <c r="N10" s="126"/>
      <c r="R10" s="225" t="s">
        <v>322</v>
      </c>
      <c r="S10" s="226" t="s">
        <v>276</v>
      </c>
      <c r="AC10" s="139" t="s">
        <v>323</v>
      </c>
      <c r="AE10" s="181"/>
      <c r="AH10" s="182"/>
      <c r="AK10" s="268" t="s">
        <v>324</v>
      </c>
      <c r="AM10" s="268" t="s">
        <v>324</v>
      </c>
      <c r="AN10" s="292">
        <v>45901</v>
      </c>
    </row>
    <row r="11" spans="1:40" ht="14.45">
      <c r="B11" s="116">
        <v>10</v>
      </c>
      <c r="C11" s="117"/>
      <c r="D11" s="277"/>
      <c r="E11" s="216" t="s">
        <v>325</v>
      </c>
      <c r="J11" s="127" t="s">
        <v>83</v>
      </c>
      <c r="K11" s="25" t="s">
        <v>83</v>
      </c>
      <c r="L11" s="25" t="s">
        <v>326</v>
      </c>
      <c r="M11" s="25" t="str">
        <f t="shared" si="0"/>
        <v>PPCG</v>
      </c>
      <c r="N11" s="128" t="s">
        <v>288</v>
      </c>
      <c r="R11" s="225" t="s">
        <v>327</v>
      </c>
      <c r="S11" s="226" t="s">
        <v>276</v>
      </c>
      <c r="AC11" s="139" t="s">
        <v>205</v>
      </c>
      <c r="AK11" s="268" t="s">
        <v>328</v>
      </c>
      <c r="AM11" s="268" t="s">
        <v>328</v>
      </c>
      <c r="AN11" s="292">
        <v>45931</v>
      </c>
    </row>
    <row r="12" spans="1:40" ht="14.45">
      <c r="B12" s="116">
        <v>11</v>
      </c>
      <c r="C12" s="117"/>
      <c r="D12" s="277"/>
      <c r="E12" s="217" t="s">
        <v>329</v>
      </c>
      <c r="J12" s="125" t="s">
        <v>83</v>
      </c>
      <c r="K12" s="26" t="s">
        <v>326</v>
      </c>
      <c r="L12" s="26" t="s">
        <v>83</v>
      </c>
      <c r="M12" s="26" t="str">
        <f t="shared" si="0"/>
        <v>PCGP</v>
      </c>
      <c r="N12" s="129" t="s">
        <v>250</v>
      </c>
      <c r="R12" s="225" t="s">
        <v>330</v>
      </c>
      <c r="S12" s="226" t="s">
        <v>276</v>
      </c>
      <c r="AC12" s="139" t="s">
        <v>206</v>
      </c>
      <c r="AK12" s="268" t="s">
        <v>331</v>
      </c>
      <c r="AM12" s="268" t="s">
        <v>331</v>
      </c>
      <c r="AN12" s="292">
        <v>45962</v>
      </c>
    </row>
    <row r="13" spans="1:40" ht="15" thickBot="1">
      <c r="B13" s="116">
        <v>12</v>
      </c>
      <c r="C13" s="117"/>
      <c r="D13" s="277"/>
      <c r="E13" s="218" t="s">
        <v>332</v>
      </c>
      <c r="J13" s="125" t="s">
        <v>326</v>
      </c>
      <c r="K13" s="26" t="s">
        <v>83</v>
      </c>
      <c r="L13" s="26" t="s">
        <v>83</v>
      </c>
      <c r="M13" s="26" t="str">
        <f t="shared" si="0"/>
        <v>CGPP</v>
      </c>
      <c r="N13" s="129" t="s">
        <v>250</v>
      </c>
      <c r="R13" s="225" t="s">
        <v>333</v>
      </c>
      <c r="S13" s="226" t="s">
        <v>291</v>
      </c>
      <c r="AC13" s="139" t="s">
        <v>198</v>
      </c>
      <c r="AK13" s="268" t="s">
        <v>334</v>
      </c>
      <c r="AM13" s="268" t="s">
        <v>334</v>
      </c>
      <c r="AN13" s="292">
        <v>45992</v>
      </c>
    </row>
    <row r="14" spans="1:40" ht="15" thickBot="1">
      <c r="B14" s="116">
        <v>13</v>
      </c>
      <c r="C14" s="117"/>
      <c r="D14" s="277"/>
      <c r="J14" s="130" t="s">
        <v>83</v>
      </c>
      <c r="K14" s="131" t="s">
        <v>326</v>
      </c>
      <c r="L14" s="131" t="s">
        <v>326</v>
      </c>
      <c r="M14" s="131" t="str">
        <f t="shared" si="0"/>
        <v>PCGCG</v>
      </c>
      <c r="N14" s="132" t="s">
        <v>288</v>
      </c>
      <c r="R14" s="225" t="s">
        <v>335</v>
      </c>
      <c r="S14" s="226">
        <v>6</v>
      </c>
      <c r="AK14" s="268" t="s">
        <v>336</v>
      </c>
      <c r="AM14" s="268" t="s">
        <v>336</v>
      </c>
      <c r="AN14" s="292">
        <v>46023</v>
      </c>
    </row>
    <row r="15" spans="1:40" ht="14.45">
      <c r="B15" s="116">
        <v>14</v>
      </c>
      <c r="C15" s="117"/>
      <c r="D15" s="277"/>
      <c r="J15" s="125" t="s">
        <v>83</v>
      </c>
      <c r="K15" s="26" t="s">
        <v>337</v>
      </c>
      <c r="L15" s="26" t="s">
        <v>83</v>
      </c>
      <c r="M15" s="26" t="str">
        <f t="shared" si="0"/>
        <v>PCLP</v>
      </c>
      <c r="N15" s="129" t="s">
        <v>250</v>
      </c>
      <c r="R15" s="225" t="s">
        <v>338</v>
      </c>
      <c r="S15" s="226" t="s">
        <v>291</v>
      </c>
      <c r="AK15" s="268" t="s">
        <v>339</v>
      </c>
      <c r="AM15" s="268" t="s">
        <v>339</v>
      </c>
      <c r="AN15" s="292">
        <v>46054</v>
      </c>
    </row>
    <row r="16" spans="1:40" ht="14.45">
      <c r="B16" s="116">
        <v>15</v>
      </c>
      <c r="C16" s="117"/>
      <c r="D16" s="277"/>
      <c r="J16" s="125" t="s">
        <v>337</v>
      </c>
      <c r="K16" s="26" t="s">
        <v>83</v>
      </c>
      <c r="L16" s="26" t="s">
        <v>83</v>
      </c>
      <c r="M16" s="26" t="str">
        <f t="shared" si="0"/>
        <v>CLPP</v>
      </c>
      <c r="N16" s="129" t="s">
        <v>250</v>
      </c>
      <c r="R16" s="225" t="s">
        <v>340</v>
      </c>
      <c r="S16" s="226" t="s">
        <v>276</v>
      </c>
      <c r="AK16" s="275" t="s">
        <v>341</v>
      </c>
      <c r="AM16" s="275" t="s">
        <v>341</v>
      </c>
      <c r="AN16" s="292">
        <v>46082</v>
      </c>
    </row>
    <row r="17" spans="2:19" ht="15" thickBot="1">
      <c r="B17" s="116">
        <v>16</v>
      </c>
      <c r="C17" s="117"/>
      <c r="D17" s="277"/>
      <c r="J17" s="130" t="s">
        <v>83</v>
      </c>
      <c r="K17" s="131" t="s">
        <v>337</v>
      </c>
      <c r="L17" s="131" t="s">
        <v>337</v>
      </c>
      <c r="M17" s="131" t="str">
        <f t="shared" si="0"/>
        <v>PCLCL</v>
      </c>
      <c r="N17" s="132" t="s">
        <v>288</v>
      </c>
      <c r="R17" s="225" t="s">
        <v>342</v>
      </c>
      <c r="S17" s="226" t="s">
        <v>276</v>
      </c>
    </row>
    <row r="18" spans="2:19" ht="12.75" customHeight="1">
      <c r="B18" s="116">
        <v>17</v>
      </c>
      <c r="C18" s="117"/>
      <c r="D18" s="277"/>
      <c r="R18" s="225" t="s">
        <v>343</v>
      </c>
      <c r="S18" s="226" t="s">
        <v>263</v>
      </c>
    </row>
    <row r="19" spans="2:19" ht="12.75" customHeight="1">
      <c r="B19" s="116">
        <v>18</v>
      </c>
      <c r="C19" s="117"/>
      <c r="D19" s="277"/>
      <c r="R19" s="225" t="s">
        <v>344</v>
      </c>
      <c r="S19" s="226" t="s">
        <v>263</v>
      </c>
    </row>
    <row r="20" spans="2:19" ht="12.75" customHeight="1">
      <c r="B20" s="116">
        <v>19</v>
      </c>
      <c r="C20" s="117"/>
      <c r="D20" s="277"/>
      <c r="R20" s="225" t="s">
        <v>345</v>
      </c>
      <c r="S20" s="226">
        <v>3</v>
      </c>
    </row>
    <row r="21" spans="2:19" ht="12.75" customHeight="1" thickBot="1">
      <c r="B21" s="116">
        <v>20</v>
      </c>
      <c r="C21" s="117"/>
      <c r="D21" s="278"/>
      <c r="R21" s="225" t="s">
        <v>346</v>
      </c>
      <c r="S21" s="226">
        <v>6</v>
      </c>
    </row>
    <row r="22" spans="2:19" ht="12.75" customHeight="1">
      <c r="B22" s="116">
        <v>21</v>
      </c>
      <c r="C22" s="117"/>
      <c r="R22" s="225" t="s">
        <v>347</v>
      </c>
      <c r="S22" s="226" t="s">
        <v>276</v>
      </c>
    </row>
    <row r="23" spans="2:19" ht="12.75" customHeight="1">
      <c r="B23" s="116">
        <v>22</v>
      </c>
      <c r="C23" s="117"/>
      <c r="R23" s="225" t="s">
        <v>348</v>
      </c>
      <c r="S23" s="226" t="s">
        <v>276</v>
      </c>
    </row>
    <row r="24" spans="2:19" ht="12.75" customHeight="1">
      <c r="B24" s="116">
        <v>23</v>
      </c>
      <c r="C24" s="117"/>
      <c r="R24" s="225" t="s">
        <v>349</v>
      </c>
      <c r="S24" s="226" t="s">
        <v>276</v>
      </c>
    </row>
    <row r="25" spans="2:19" ht="12.75" customHeight="1">
      <c r="B25" s="116">
        <v>24</v>
      </c>
      <c r="C25" s="117"/>
      <c r="R25" s="225" t="s">
        <v>350</v>
      </c>
      <c r="S25" s="226">
        <v>6</v>
      </c>
    </row>
    <row r="26" spans="2:19" ht="12.75" customHeight="1">
      <c r="B26" s="116">
        <v>25</v>
      </c>
      <c r="C26" s="117"/>
      <c r="R26" s="225" t="s">
        <v>351</v>
      </c>
      <c r="S26" s="226" t="s">
        <v>276</v>
      </c>
    </row>
    <row r="27" spans="2:19" ht="12.75" customHeight="1">
      <c r="B27" s="116">
        <v>26</v>
      </c>
      <c r="C27" s="117"/>
      <c r="R27" s="225" t="s">
        <v>352</v>
      </c>
      <c r="S27" s="226" t="s">
        <v>276</v>
      </c>
    </row>
    <row r="28" spans="2:19" ht="12.75" customHeight="1">
      <c r="B28" s="116">
        <v>27</v>
      </c>
      <c r="C28" s="117"/>
      <c r="R28" s="225" t="s">
        <v>353</v>
      </c>
      <c r="S28" s="226" t="s">
        <v>276</v>
      </c>
    </row>
    <row r="29" spans="2:19" ht="12.75" customHeight="1">
      <c r="B29" s="116">
        <v>28</v>
      </c>
      <c r="C29" s="117"/>
      <c r="R29" s="225" t="s">
        <v>354</v>
      </c>
      <c r="S29" s="226" t="s">
        <v>276</v>
      </c>
    </row>
    <row r="30" spans="2:19" ht="12.75" customHeight="1">
      <c r="B30" s="116">
        <v>29</v>
      </c>
      <c r="C30" s="117"/>
      <c r="R30" s="225" t="s">
        <v>355</v>
      </c>
      <c r="S30" s="226" t="s">
        <v>276</v>
      </c>
    </row>
    <row r="31" spans="2:19" ht="12.75" customHeight="1" thickBot="1">
      <c r="B31" s="118">
        <v>30</v>
      </c>
      <c r="C31" s="119"/>
      <c r="R31" s="225" t="s">
        <v>356</v>
      </c>
      <c r="S31" s="226" t="s">
        <v>276</v>
      </c>
    </row>
    <row r="32" spans="2:19" ht="12.75" customHeight="1">
      <c r="R32" s="225" t="s">
        <v>1</v>
      </c>
      <c r="S32" s="226" t="s">
        <v>291</v>
      </c>
    </row>
    <row r="33" spans="18:19" ht="12.75" customHeight="1">
      <c r="R33" s="225" t="s">
        <v>357</v>
      </c>
      <c r="S33" s="226" t="s">
        <v>263</v>
      </c>
    </row>
    <row r="34" spans="18:19" ht="12.75" customHeight="1">
      <c r="R34" s="225" t="s">
        <v>358</v>
      </c>
      <c r="S34" s="226">
        <v>5</v>
      </c>
    </row>
    <row r="35" spans="18:19" ht="12.75" customHeight="1">
      <c r="R35" s="225" t="s">
        <v>359</v>
      </c>
      <c r="S35" s="226" t="s">
        <v>276</v>
      </c>
    </row>
    <row r="36" spans="18:19" ht="12.75" customHeight="1">
      <c r="R36" s="225" t="s">
        <v>360</v>
      </c>
      <c r="S36" s="226" t="s">
        <v>276</v>
      </c>
    </row>
    <row r="37" spans="18:19" ht="12.75" customHeight="1">
      <c r="R37" s="225" t="s">
        <v>361</v>
      </c>
      <c r="S37" s="226">
        <v>4</v>
      </c>
    </row>
    <row r="38" spans="18:19" ht="12.75" customHeight="1">
      <c r="R38" s="225" t="s">
        <v>362</v>
      </c>
      <c r="S38" s="226">
        <v>2</v>
      </c>
    </row>
    <row r="39" spans="18:19" ht="12.75" customHeight="1">
      <c r="R39" s="225" t="s">
        <v>363</v>
      </c>
      <c r="S39" s="226">
        <v>3</v>
      </c>
    </row>
    <row r="40" spans="18:19" ht="12.75" customHeight="1">
      <c r="R40" s="225" t="s">
        <v>364</v>
      </c>
      <c r="S40" s="226" t="s">
        <v>276</v>
      </c>
    </row>
    <row r="41" spans="18:19" ht="12.75" customHeight="1">
      <c r="R41" s="225" t="s">
        <v>365</v>
      </c>
      <c r="S41" s="226">
        <v>4</v>
      </c>
    </row>
    <row r="42" spans="18:19" ht="12.75" customHeight="1">
      <c r="R42" s="225" t="s">
        <v>366</v>
      </c>
      <c r="S42" s="226" t="s">
        <v>276</v>
      </c>
    </row>
    <row r="43" spans="18:19" ht="12.75" customHeight="1">
      <c r="R43" s="225" t="s">
        <v>367</v>
      </c>
      <c r="S43" s="226">
        <v>3</v>
      </c>
    </row>
    <row r="44" spans="18:19" ht="12.75" customHeight="1">
      <c r="R44" s="225" t="s">
        <v>368</v>
      </c>
      <c r="S44" s="226">
        <v>6</v>
      </c>
    </row>
    <row r="45" spans="18:19" ht="12.75" customHeight="1">
      <c r="R45" s="225" t="s">
        <v>369</v>
      </c>
      <c r="S45" s="226" t="s">
        <v>276</v>
      </c>
    </row>
    <row r="46" spans="18:19" ht="12.75" customHeight="1">
      <c r="R46" s="225" t="s">
        <v>370</v>
      </c>
      <c r="S46" s="226" t="s">
        <v>276</v>
      </c>
    </row>
    <row r="47" spans="18:19" ht="12.75" customHeight="1">
      <c r="R47" s="225" t="s">
        <v>371</v>
      </c>
      <c r="S47" s="226" t="s">
        <v>291</v>
      </c>
    </row>
    <row r="48" spans="18:19" ht="12.75" customHeight="1">
      <c r="R48" s="225" t="s">
        <v>372</v>
      </c>
      <c r="S48" s="226">
        <v>2</v>
      </c>
    </row>
    <row r="49" spans="18:19" ht="12.75" customHeight="1">
      <c r="R49" s="225" t="s">
        <v>373</v>
      </c>
      <c r="S49" s="226">
        <v>3</v>
      </c>
    </row>
    <row r="50" spans="18:19" ht="12.75" customHeight="1">
      <c r="R50" s="225" t="s">
        <v>374</v>
      </c>
      <c r="S50" s="226" t="s">
        <v>291</v>
      </c>
    </row>
    <row r="51" spans="18:19" ht="12.75" customHeight="1">
      <c r="R51" s="225" t="s">
        <v>375</v>
      </c>
      <c r="S51" s="226">
        <v>7</v>
      </c>
    </row>
    <row r="52" spans="18:19" ht="12.75" customHeight="1">
      <c r="R52" s="225" t="s">
        <v>376</v>
      </c>
      <c r="S52" s="226">
        <v>3</v>
      </c>
    </row>
    <row r="53" spans="18:19" ht="12.75" customHeight="1">
      <c r="R53" s="225" t="s">
        <v>377</v>
      </c>
      <c r="S53" s="226" t="s">
        <v>276</v>
      </c>
    </row>
    <row r="54" spans="18:19" ht="12.75" customHeight="1">
      <c r="R54" s="225" t="s">
        <v>378</v>
      </c>
      <c r="S54" s="226">
        <v>4</v>
      </c>
    </row>
    <row r="55" spans="18:19" ht="12.75" customHeight="1">
      <c r="R55" s="225" t="s">
        <v>379</v>
      </c>
      <c r="S55" s="226" t="s">
        <v>276</v>
      </c>
    </row>
    <row r="56" spans="18:19" ht="12.75" customHeight="1">
      <c r="R56" s="225" t="s">
        <v>380</v>
      </c>
      <c r="S56" s="226">
        <v>2</v>
      </c>
    </row>
    <row r="57" spans="18:19" ht="12.75" customHeight="1">
      <c r="R57" s="225" t="s">
        <v>381</v>
      </c>
      <c r="S57" s="226">
        <v>4</v>
      </c>
    </row>
    <row r="58" spans="18:19" ht="12.75" customHeight="1">
      <c r="R58" s="225" t="s">
        <v>382</v>
      </c>
      <c r="S58" s="226">
        <v>2</v>
      </c>
    </row>
    <row r="59" spans="18:19" ht="12.75" customHeight="1">
      <c r="R59" s="225" t="s">
        <v>383</v>
      </c>
      <c r="S59" s="226" t="s">
        <v>276</v>
      </c>
    </row>
    <row r="60" spans="18:19" ht="12.75" customHeight="1">
      <c r="R60" s="225" t="s">
        <v>384</v>
      </c>
      <c r="S60" s="226" t="s">
        <v>263</v>
      </c>
    </row>
    <row r="61" spans="18:19" ht="12.75" customHeight="1">
      <c r="R61" s="225" t="s">
        <v>385</v>
      </c>
      <c r="S61" s="226">
        <v>2</v>
      </c>
    </row>
    <row r="62" spans="18:19" ht="12.75" customHeight="1">
      <c r="R62" s="225" t="s">
        <v>386</v>
      </c>
      <c r="S62" s="226">
        <v>5</v>
      </c>
    </row>
    <row r="63" spans="18:19" ht="12.75" customHeight="1">
      <c r="R63" s="225" t="s">
        <v>387</v>
      </c>
      <c r="S63" s="226" t="s">
        <v>276</v>
      </c>
    </row>
    <row r="64" spans="18:19" ht="12.75" customHeight="1">
      <c r="R64" s="225" t="s">
        <v>388</v>
      </c>
      <c r="S64" s="226" t="s">
        <v>276</v>
      </c>
    </row>
    <row r="65" spans="18:19" ht="12.75" customHeight="1">
      <c r="R65" s="225" t="s">
        <v>389</v>
      </c>
      <c r="S65" s="226" t="s">
        <v>276</v>
      </c>
    </row>
    <row r="66" spans="18:19" ht="12.75" customHeight="1">
      <c r="R66" s="225" t="s">
        <v>390</v>
      </c>
      <c r="S66" s="226" t="s">
        <v>291</v>
      </c>
    </row>
    <row r="67" spans="18:19" ht="12.75" customHeight="1">
      <c r="R67" s="225" t="s">
        <v>391</v>
      </c>
      <c r="S67" s="226" t="s">
        <v>263</v>
      </c>
    </row>
    <row r="68" spans="18:19" ht="12.75" customHeight="1">
      <c r="R68" s="225" t="s">
        <v>392</v>
      </c>
      <c r="S68" s="226" t="s">
        <v>276</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WnBcLegeXV3Wpl2Nxs5TGs3mUmA2dbW0lup3NOLIS7OHZOYXz8JTUPPmzWF0hc4kBWxf1oAaZ4sGYcE6jatPvA==" saltValue="QO5QXp/xDrjHcoEs9rQgZ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0123-9574-46AD-97F5-DAE238FF09FE}">
  <sheetPr codeName="Hoja7"/>
  <dimension ref="B1:Y102"/>
  <sheetViews>
    <sheetView showGridLines="0" zoomScale="90" zoomScaleNormal="90" workbookViewId="0">
      <selection activeCell="I18" sqref="I18"/>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393</v>
      </c>
      <c r="C2" s="321"/>
      <c r="H2" s="324" t="s">
        <v>394</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395</v>
      </c>
      <c r="I4" s="282"/>
      <c r="K4" s="327" t="s">
        <v>396</v>
      </c>
      <c r="L4" s="327"/>
      <c r="M4" s="327"/>
      <c r="N4" s="328"/>
      <c r="O4" s="328"/>
      <c r="P4" s="328"/>
      <c r="Q4" s="328"/>
      <c r="R4" s="328"/>
      <c r="S4" s="330"/>
      <c r="T4" s="330"/>
      <c r="U4" s="330"/>
    </row>
    <row r="5" spans="2:25" ht="15">
      <c r="B5" s="23" t="s">
        <v>397</v>
      </c>
      <c r="C5" s="23" t="s">
        <v>232</v>
      </c>
      <c r="H5" s="311" t="s">
        <v>33</v>
      </c>
      <c r="I5" s="305" t="s">
        <v>13</v>
      </c>
      <c r="J5" s="280" t="s">
        <v>398</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399</v>
      </c>
      <c r="H6" s="287">
        <v>45670</v>
      </c>
      <c r="I6" s="24" t="s">
        <v>75</v>
      </c>
      <c r="J6" s="288" t="str">
        <f>IF(H6="","",H6&amp;"-"&amp;I6)</f>
        <v>45670-5:00 - 7:00 p. m.</v>
      </c>
      <c r="K6" s="289">
        <f>IF($H6="(en blanco)","",IF($H6="","",IFERROR(IF(VLOOKUP(H6+7,'Fechas de clase'!$B$5:$B$102,1,0),H6+14),H6+7)))</f>
        <v>45677</v>
      </c>
      <c r="L6" s="289">
        <f>IF($H6="(en blanco)","",IF($H6="","",IFERROR(IF(VLOOKUP(K6+7,'Fechas de clase'!$B$5:$B$102,1,0),K6+14),K6+7)))</f>
        <v>45684</v>
      </c>
      <c r="M6" s="289">
        <f>IF($H6="(en blanco)","",IF($H6="","",IFERROR(IF(VLOOKUP(L6+7,'Fechas de clase'!$B$5:$B$102,1,0),L6+14),L6+7)))</f>
        <v>45691</v>
      </c>
      <c r="N6" s="289">
        <f>IF($H6="(en blanco)","",IF($H6="","",IFERROR(IF(VLOOKUP(M6+7,'Fechas de clase'!$B$5:$B$102,1,0),M6+14),M6+7)))</f>
        <v>45698</v>
      </c>
      <c r="O6" s="289">
        <f>IF($H6="(en blanco)","",IF($H6="","",IFERROR(IF(VLOOKUP(N6+7,'Fechas de clase'!$B$5:$B$102,1,0),N6+14),N6+7)))</f>
        <v>45705</v>
      </c>
      <c r="P6" s="289">
        <f>IF($H6="(en blanco)","",IF($H6="","",IFERROR(IF(VLOOKUP(O6+7,'Fechas de clase'!$B$5:$B$102,1,0),O6+14),O6+7)))</f>
        <v>45712</v>
      </c>
      <c r="Q6" s="289">
        <f>IF($H6="(en blanco)","",IF($H6="","",IFERROR(IF(VLOOKUP(P6+7,'Fechas de clase'!$B$5:$B$102,1,0),P6+14),P6+7)))</f>
        <v>45719</v>
      </c>
      <c r="R6" s="289">
        <f>IF($H6="(en blanco)","",IF($H6="","",IFERROR(IF(VLOOKUP(Q6+7,'Fechas de clase'!$B$5:$B$102,1,0),Q6+14),Q6+7)))</f>
        <v>45726</v>
      </c>
      <c r="S6" s="289">
        <f>IF($H6="(en blanco)","",IF($H6="","",IFERROR(IF(VLOOKUP(R6+7,'Fechas de clase'!$B$5:$B$102,1,0),R6+14),R6+7)))</f>
        <v>45733</v>
      </c>
      <c r="T6" s="289">
        <f>IF($H6="(en blanco)","",IF($H6="","",IFERROR(IF(VLOOKUP(S6+7,'Fechas de clase'!$B$5:$B$102,1,0),S6+14),S6+7)))</f>
        <v>45740</v>
      </c>
      <c r="U6" s="289">
        <f>IF($H6="(en blanco)","",IF($H6="","",IFERROR(IF(VLOOKUP(T6+7,'Fechas de clase'!$B$5:$B$102,1,0),T6+14),T6+7)))</f>
        <v>45747</v>
      </c>
      <c r="V6" s="289">
        <f>IF($H6="(en blanco)","",IF($H6="","",IFERROR(IF(VLOOKUP(U6+7,'Fechas de clase'!$B$5:$B$102,1,0),U6+14),U6+7)))</f>
        <v>45754</v>
      </c>
      <c r="W6" s="289">
        <f>IF($H6="(en blanco)","",IF($H6="","",IFERROR(IF(VLOOKUP(V6+7,'Fechas de clase'!$B$5:$B$102,1,0),V6+14),V6+7)))</f>
        <v>45761</v>
      </c>
      <c r="X6" s="289">
        <f>IF($H6="(en blanco)","",IF($H6="","",IFERROR(IF(VLOOKUP(W6+7,'Fechas de clase'!$B$5:$B$102,1,0),W6+14),W6+7)))</f>
        <v>45768</v>
      </c>
      <c r="Y6" s="289">
        <f>IF($H6="(en blanco)","",IF($H6="","",IFERROR(IF(VLOOKUP(X6+7,'Fechas de clase'!$B$5:$B$102,1,0),X6+14),X6+7)))</f>
        <v>45775</v>
      </c>
    </row>
    <row r="7" spans="2:25" ht="15">
      <c r="B7" s="285">
        <v>45764</v>
      </c>
      <c r="C7" s="286" t="s">
        <v>400</v>
      </c>
      <c r="H7" s="287">
        <v>45670</v>
      </c>
      <c r="I7" s="24" t="s">
        <v>130</v>
      </c>
      <c r="J7" s="288" t="str">
        <f t="shared" ref="J7:J70" si="0">IF(H7="","",H7&amp;"-"&amp;I7)</f>
        <v>45670-7:00 - 9:00 p. m.</v>
      </c>
      <c r="K7" s="289">
        <f>IF($H7="(en blanco)","",IF($H7="","",IFERROR(IF(VLOOKUP(H7+7,'Fechas de clase'!$B$5:$B$102,1,0),H7+14),H7+7)))</f>
        <v>45677</v>
      </c>
      <c r="L7" s="289">
        <f>IF($H7="(en blanco)","",IF($H7="","",IFERROR(IF(VLOOKUP(K7+7,'Fechas de clase'!$B$5:$B$102,1,0),K7+14),K7+7)))</f>
        <v>45684</v>
      </c>
      <c r="M7" s="289">
        <f>IF($H7="(en blanco)","",IF($H7="","",IFERROR(IF(VLOOKUP(L7+7,'Fechas de clase'!$B$5:$B$102,1,0),L7+14),L7+7)))</f>
        <v>45691</v>
      </c>
      <c r="N7" s="289">
        <f>IF($H7="(en blanco)","",IF($H7="","",IFERROR(IF(VLOOKUP(M7+7,'Fechas de clase'!$B$5:$B$102,1,0),M7+14),M7+7)))</f>
        <v>45698</v>
      </c>
      <c r="O7" s="289">
        <f>IF($H7="(en blanco)","",IF($H7="","",IFERROR(IF(VLOOKUP(N7+7,'Fechas de clase'!$B$5:$B$102,1,0),N7+14),N7+7)))</f>
        <v>45705</v>
      </c>
      <c r="P7" s="289">
        <f>IF($H7="(en blanco)","",IF($H7="","",IFERROR(IF(VLOOKUP(O7+7,'Fechas de clase'!$B$5:$B$102,1,0),O7+14),O7+7)))</f>
        <v>45712</v>
      </c>
      <c r="Q7" s="289">
        <f>IF($H7="(en blanco)","",IF($H7="","",IFERROR(IF(VLOOKUP(P7+7,'Fechas de clase'!$B$5:$B$102,1,0),P7+14),P7+7)))</f>
        <v>45719</v>
      </c>
      <c r="R7" s="289">
        <f>IF($H7="(en blanco)","",IF($H7="","",IFERROR(IF(VLOOKUP(Q7+7,'Fechas de clase'!$B$5:$B$102,1,0),Q7+14),Q7+7)))</f>
        <v>45726</v>
      </c>
      <c r="S7" s="289">
        <f>IF($H7="(en blanco)","",IF($H7="","",IFERROR(IF(VLOOKUP(R7+7,'Fechas de clase'!$B$5:$B$102,1,0),R7+14),R7+7)))</f>
        <v>45733</v>
      </c>
      <c r="T7" s="289">
        <f>IF($H7="(en blanco)","",IF($H7="","",IFERROR(IF(VLOOKUP(S7+7,'Fechas de clase'!$B$5:$B$102,1,0),S7+14),S7+7)))</f>
        <v>45740</v>
      </c>
      <c r="U7" s="289">
        <f>IF($H7="(en blanco)","",IF($H7="","",IFERROR(IF(VLOOKUP(T7+7,'Fechas de clase'!$B$5:$B$102,1,0),T7+14),T7+7)))</f>
        <v>45747</v>
      </c>
      <c r="V7" s="289">
        <f>IF($H7="(en blanco)","",IF($H7="","",IFERROR(IF(VLOOKUP(U7+7,'Fechas de clase'!$B$5:$B$102,1,0),U7+14),U7+7)))</f>
        <v>45754</v>
      </c>
      <c r="W7" s="289">
        <f>IF($H7="(en blanco)","",IF($H7="","",IFERROR(IF(VLOOKUP(V7+7,'Fechas de clase'!$B$5:$B$102,1,0),V7+14),V7+7)))</f>
        <v>45761</v>
      </c>
      <c r="X7" s="289">
        <f>IF($H7="(en blanco)","",IF($H7="","",IFERROR(IF(VLOOKUP(W7+7,'Fechas de clase'!$B$5:$B$102,1,0),W7+14),W7+7)))</f>
        <v>45768</v>
      </c>
      <c r="Y7" s="289">
        <f>IF($H7="(en blanco)","",IF($H7="","",IFERROR(IF(VLOOKUP(X7+7,'Fechas de clase'!$B$5:$B$102,1,0),X7+14),X7+7)))</f>
        <v>45775</v>
      </c>
    </row>
    <row r="8" spans="2:25" ht="15">
      <c r="B8" s="285">
        <v>45765</v>
      </c>
      <c r="C8" s="286" t="s">
        <v>401</v>
      </c>
      <c r="H8" s="287">
        <v>45693</v>
      </c>
      <c r="I8" t="s">
        <v>130</v>
      </c>
      <c r="J8" s="288" t="str">
        <f t="shared" si="0"/>
        <v>45693-7:00 - 9:00 p. m.</v>
      </c>
      <c r="K8" s="289">
        <f>IF($H8="(en blanco)","",IF($H8="","",IFERROR(IF(VLOOKUP(H8+7,'Fechas de clase'!$B$5:$B$102,1,0),H8+14),H8+7)))</f>
        <v>45700</v>
      </c>
      <c r="L8" s="289">
        <f>IF($H8="(en blanco)","",IF($H8="","",IFERROR(IF(VLOOKUP(K8+7,'Fechas de clase'!$B$5:$B$102,1,0),K8+14),K8+7)))</f>
        <v>45707</v>
      </c>
      <c r="M8" s="289">
        <f>IF($H8="(en blanco)","",IF($H8="","",IFERROR(IF(VLOOKUP(L8+7,'Fechas de clase'!$B$5:$B$102,1,0),L8+14),L8+7)))</f>
        <v>45714</v>
      </c>
      <c r="N8" s="289">
        <f>IF($H8="(en blanco)","",IF($H8="","",IFERROR(IF(VLOOKUP(M8+7,'Fechas de clase'!$B$5:$B$102,1,0),M8+14),M8+7)))</f>
        <v>45721</v>
      </c>
      <c r="O8" s="289">
        <f>IF($H8="(en blanco)","",IF($H8="","",IFERROR(IF(VLOOKUP(N8+7,'Fechas de clase'!$B$5:$B$102,1,0),N8+14),N8+7)))</f>
        <v>45728</v>
      </c>
      <c r="P8" s="289">
        <f>IF($H8="(en blanco)","",IF($H8="","",IFERROR(IF(VLOOKUP(O8+7,'Fechas de clase'!$B$5:$B$102,1,0),O8+14),O8+7)))</f>
        <v>45735</v>
      </c>
      <c r="Q8" s="289">
        <f>IF($H8="(en blanco)","",IF($H8="","",IFERROR(IF(VLOOKUP(P8+7,'Fechas de clase'!$B$5:$B$102,1,0),P8+14),P8+7)))</f>
        <v>45742</v>
      </c>
      <c r="R8" s="289">
        <f>IF($H8="(en blanco)","",IF($H8="","",IFERROR(IF(VLOOKUP(Q8+7,'Fechas de clase'!$B$5:$B$102,1,0),Q8+14),Q8+7)))</f>
        <v>45749</v>
      </c>
      <c r="S8" s="289">
        <f>IF($H8="(en blanco)","",IF($H8="","",IFERROR(IF(VLOOKUP(R8+7,'Fechas de clase'!$B$5:$B$102,1,0),R8+14),R8+7)))</f>
        <v>45756</v>
      </c>
      <c r="T8" s="289">
        <f>IF($H8="(en blanco)","",IF($H8="","",IFERROR(IF(VLOOKUP(S8+7,'Fechas de clase'!$B$5:$B$102,1,0),S8+14),S8+7)))</f>
        <v>45763</v>
      </c>
      <c r="U8" s="289">
        <f>IF($H8="(en blanco)","",IF($H8="","",IFERROR(IF(VLOOKUP(T8+7,'Fechas de clase'!$B$5:$B$102,1,0),T8+14),T8+7)))</f>
        <v>45770</v>
      </c>
      <c r="V8" s="289">
        <f>IF($H8="(en blanco)","",IF($H8="","",IFERROR(IF(VLOOKUP(U8+7,'Fechas de clase'!$B$5:$B$102,1,0),U8+14),U8+7)))</f>
        <v>45777</v>
      </c>
      <c r="W8" s="289">
        <f>IF($H8="(en blanco)","",IF($H8="","",IFERROR(IF(VLOOKUP(V8+7,'Fechas de clase'!$B$5:$B$102,1,0),V8+14),V8+7)))</f>
        <v>45784</v>
      </c>
      <c r="X8" s="289">
        <f>IF($H8="(en blanco)","",IF($H8="","",IFERROR(IF(VLOOKUP(W8+7,'Fechas de clase'!$B$5:$B$102,1,0),W8+14),W8+7)))</f>
        <v>45791</v>
      </c>
      <c r="Y8" s="289">
        <f>IF($H8="(en blanco)","",IF($H8="","",IFERROR(IF(VLOOKUP(X8+7,'Fechas de clase'!$B$5:$B$102,1,0),X8+14),X8+7)))</f>
        <v>45798</v>
      </c>
    </row>
    <row r="9" spans="2:25" ht="15">
      <c r="B9" s="285">
        <v>45778</v>
      </c>
      <c r="C9" s="286" t="s">
        <v>402</v>
      </c>
      <c r="H9" s="287">
        <v>45721</v>
      </c>
      <c r="I9" t="s">
        <v>130</v>
      </c>
      <c r="J9" s="288" t="str">
        <f t="shared" si="0"/>
        <v>45721-7:00 - 9:00 p. m.</v>
      </c>
      <c r="K9" s="289">
        <f>IF($H9="(en blanco)","",IF($H9="","",IFERROR(IF(VLOOKUP(H9+7,'Fechas de clase'!$B$5:$B$102,1,0),H9+14),H9+7)))</f>
        <v>45728</v>
      </c>
      <c r="L9" s="289">
        <f>IF($H9="(en blanco)","",IF($H9="","",IFERROR(IF(VLOOKUP(K9+7,'Fechas de clase'!$B$5:$B$102,1,0),K9+14),K9+7)))</f>
        <v>45735</v>
      </c>
      <c r="M9" s="289">
        <f>IF($H9="(en blanco)","",IF($H9="","",IFERROR(IF(VLOOKUP(L9+7,'Fechas de clase'!$B$5:$B$102,1,0),L9+14),L9+7)))</f>
        <v>45742</v>
      </c>
      <c r="N9" s="289">
        <f>IF($H9="(en blanco)","",IF($H9="","",IFERROR(IF(VLOOKUP(M9+7,'Fechas de clase'!$B$5:$B$102,1,0),M9+14),M9+7)))</f>
        <v>45749</v>
      </c>
      <c r="O9" s="289">
        <f>IF($H9="(en blanco)","",IF($H9="","",IFERROR(IF(VLOOKUP(N9+7,'Fechas de clase'!$B$5:$B$102,1,0),N9+14),N9+7)))</f>
        <v>45756</v>
      </c>
      <c r="P9" s="289">
        <f>IF($H9="(en blanco)","",IF($H9="","",IFERROR(IF(VLOOKUP(O9+7,'Fechas de clase'!$B$5:$B$102,1,0),O9+14),O9+7)))</f>
        <v>45763</v>
      </c>
      <c r="Q9" s="289">
        <f>IF($H9="(en blanco)","",IF($H9="","",IFERROR(IF(VLOOKUP(P9+7,'Fechas de clase'!$B$5:$B$102,1,0),P9+14),P9+7)))</f>
        <v>45770</v>
      </c>
      <c r="R9" s="289">
        <f>IF($H9="(en blanco)","",IF($H9="","",IFERROR(IF(VLOOKUP(Q9+7,'Fechas de clase'!$B$5:$B$102,1,0),Q9+14),Q9+7)))</f>
        <v>45777</v>
      </c>
      <c r="S9" s="289">
        <f>IF($H9="(en blanco)","",IF($H9="","",IFERROR(IF(VLOOKUP(R9+7,'Fechas de clase'!$B$5:$B$102,1,0),R9+14),R9+7)))</f>
        <v>45784</v>
      </c>
      <c r="T9" s="289">
        <f>IF($H9="(en blanco)","",IF($H9="","",IFERROR(IF(VLOOKUP(S9+7,'Fechas de clase'!$B$5:$B$102,1,0),S9+14),S9+7)))</f>
        <v>45791</v>
      </c>
      <c r="U9" s="289">
        <f>IF($H9="(en blanco)","",IF($H9="","",IFERROR(IF(VLOOKUP(T9+7,'Fechas de clase'!$B$5:$B$102,1,0),T9+14),T9+7)))</f>
        <v>45798</v>
      </c>
      <c r="V9" s="289">
        <f>IF($H9="(en blanco)","",IF($H9="","",IFERROR(IF(VLOOKUP(U9+7,'Fechas de clase'!$B$5:$B$102,1,0),U9+14),U9+7)))</f>
        <v>45805</v>
      </c>
      <c r="W9" s="289">
        <f>IF($H9="(en blanco)","",IF($H9="","",IFERROR(IF(VLOOKUP(V9+7,'Fechas de clase'!$B$5:$B$102,1,0),V9+14),V9+7)))</f>
        <v>45812</v>
      </c>
      <c r="X9" s="289">
        <f>IF($H9="(en blanco)","",IF($H9="","",IFERROR(IF(VLOOKUP(W9+7,'Fechas de clase'!$B$5:$B$102,1,0),W9+14),W9+7)))</f>
        <v>45819</v>
      </c>
      <c r="Y9" s="289">
        <f>IF($H9="(en blanco)","",IF($H9="","",IFERROR(IF(VLOOKUP(X9+7,'Fechas de clase'!$B$5:$B$102,1,0),X9+14),X9+7)))</f>
        <v>45826</v>
      </c>
    </row>
    <row r="10" spans="2:25" ht="15">
      <c r="B10" s="285">
        <v>45815</v>
      </c>
      <c r="C10" s="286" t="s">
        <v>403</v>
      </c>
      <c r="H10" s="287" t="s">
        <v>404</v>
      </c>
      <c r="I10" s="24" t="s">
        <v>404</v>
      </c>
      <c r="J10" s="288" t="str">
        <f t="shared" si="0"/>
        <v>(en blanco)-(en blanco)</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405</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406</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407</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408</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409</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410</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411</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412</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413</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414</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415</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7" zoomScale="50" zoomScaleNormal="50" zoomScalePageLayoutView="62" workbookViewId="0">
      <selection activeCell="BI4" sqref="BI4"/>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416</v>
      </c>
    </row>
    <row r="4" spans="2:59">
      <c r="B4" s="185" t="s">
        <v>68</v>
      </c>
      <c r="C4" t="s">
        <v>417</v>
      </c>
      <c r="D4" s="62"/>
      <c r="BB4" s="185" t="s">
        <v>11</v>
      </c>
      <c r="BC4" t="s">
        <v>154</v>
      </c>
    </row>
    <row r="5" spans="2:59">
      <c r="D5" s="62"/>
      <c r="BB5" s="185" t="s">
        <v>68</v>
      </c>
      <c r="BC5" t="s">
        <v>417</v>
      </c>
      <c r="BD5" s="62"/>
    </row>
    <row r="6" spans="2:59">
      <c r="B6" s="185" t="s">
        <v>14</v>
      </c>
      <c r="C6" s="185" t="s">
        <v>67</v>
      </c>
      <c r="D6" s="185" t="s">
        <v>10</v>
      </c>
      <c r="E6" s="185" t="s">
        <v>418</v>
      </c>
      <c r="F6" s="185" t="s">
        <v>31</v>
      </c>
      <c r="G6" s="185" t="s">
        <v>32</v>
      </c>
      <c r="H6" t="s">
        <v>419</v>
      </c>
      <c r="I6" s="204" t="s">
        <v>420</v>
      </c>
      <c r="J6" s="187" t="s">
        <v>421</v>
      </c>
      <c r="K6" s="188" t="s">
        <v>422</v>
      </c>
      <c r="L6" s="188" t="s">
        <v>423</v>
      </c>
      <c r="M6" s="188" t="s">
        <v>424</v>
      </c>
      <c r="N6" s="188" t="s">
        <v>425</v>
      </c>
      <c r="O6" s="188" t="s">
        <v>426</v>
      </c>
      <c r="P6" s="188" t="s">
        <v>427</v>
      </c>
      <c r="Q6" s="188" t="s">
        <v>428</v>
      </c>
      <c r="R6" s="188" t="s">
        <v>429</v>
      </c>
      <c r="S6" s="188" t="s">
        <v>430</v>
      </c>
      <c r="T6" s="188" t="s">
        <v>431</v>
      </c>
      <c r="U6" s="188" t="s">
        <v>432</v>
      </c>
      <c r="V6" s="188" t="s">
        <v>433</v>
      </c>
      <c r="W6" s="188" t="s">
        <v>434</v>
      </c>
      <c r="X6" s="188" t="s">
        <v>435</v>
      </c>
      <c r="Y6" s="189" t="s">
        <v>436</v>
      </c>
      <c r="AA6" s="187" t="s">
        <v>65</v>
      </c>
      <c r="AB6" s="188" t="s">
        <v>10</v>
      </c>
      <c r="AC6" s="188" t="s">
        <v>14</v>
      </c>
      <c r="AD6" s="188" t="s">
        <v>11</v>
      </c>
      <c r="AE6" s="188" t="s">
        <v>437</v>
      </c>
      <c r="AF6" s="188" t="s">
        <v>24</v>
      </c>
      <c r="AG6" s="188" t="s">
        <v>31</v>
      </c>
      <c r="AH6" s="188" t="s">
        <v>32</v>
      </c>
      <c r="AI6" s="188" t="s">
        <v>438</v>
      </c>
      <c r="AJ6" s="188" t="s">
        <v>439</v>
      </c>
      <c r="AK6" s="188" t="s">
        <v>421</v>
      </c>
      <c r="AL6" s="188" t="s">
        <v>422</v>
      </c>
      <c r="AM6" s="188" t="s">
        <v>423</v>
      </c>
      <c r="AN6" s="188" t="s">
        <v>424</v>
      </c>
      <c r="AO6" s="188" t="s">
        <v>425</v>
      </c>
      <c r="AP6" s="188" t="s">
        <v>426</v>
      </c>
      <c r="AQ6" s="188" t="s">
        <v>427</v>
      </c>
      <c r="AR6" s="188" t="s">
        <v>428</v>
      </c>
      <c r="AS6" s="188" t="s">
        <v>429</v>
      </c>
      <c r="AT6" s="188" t="s">
        <v>430</v>
      </c>
      <c r="AU6" s="188" t="s">
        <v>431</v>
      </c>
      <c r="AV6" s="188" t="s">
        <v>432</v>
      </c>
      <c r="AW6" s="188" t="s">
        <v>433</v>
      </c>
      <c r="AX6" s="188" t="s">
        <v>434</v>
      </c>
      <c r="AY6" s="188" t="s">
        <v>435</v>
      </c>
      <c r="AZ6" s="189" t="s">
        <v>436</v>
      </c>
      <c r="BA6" s="204" t="s">
        <v>420</v>
      </c>
      <c r="BD6" s="62"/>
    </row>
    <row r="7" spans="2:59">
      <c r="B7" s="62">
        <v>45670</v>
      </c>
      <c r="C7" t="s">
        <v>440</v>
      </c>
      <c r="D7" t="s">
        <v>72</v>
      </c>
      <c r="E7" t="s">
        <v>81</v>
      </c>
      <c r="F7" t="s">
        <v>82</v>
      </c>
      <c r="G7" t="s">
        <v>82</v>
      </c>
      <c r="H7" s="329">
        <v>11</v>
      </c>
      <c r="I7">
        <f>IF(C7="","",COUNTIFS(Tabla1[[#All],[¿Pasó a miembro?]],"Si",Tabla1[[#All],[Tipo Incrito]],"&lt;&gt;Pre-Inscrito",Tabla1[[#All],[llave2]],Gráficos_!C7))</f>
        <v>0</v>
      </c>
      <c r="J7" s="186">
        <f>IF(C7="","",COUNTIFS(Tabla1[[#All],[sem 01]],"=P",Tabla1[[#All],[llave2]],Gráficos_!C7))</f>
        <v>8</v>
      </c>
      <c r="K7">
        <f>IF(C7="","",COUNTIFS(Tabla1[[#All],[sem 02]],"=P",Tabla1[[#All],[llave2]],Gráficos_!C7))</f>
        <v>9</v>
      </c>
      <c r="L7">
        <f>IF(C7="","",COUNTIFS(Tabla1[[#All],[sem 03]],"=P",Tabla1[[#All],[llave2]],Gráficos_!C7))</f>
        <v>10</v>
      </c>
      <c r="M7">
        <f>IF(C7="","",COUNTIFS(Tabla1[[#All],[sem 04]],"=P",Tabla1[[#All],[llave2]],Gráficos_!C7))</f>
        <v>8</v>
      </c>
      <c r="N7">
        <f>IF(C7="","",COUNTIFS(Tabla1[[#All],[sem 05]],"=P",Tabla1[[#All],[llave2]],Gráficos_!C7))</f>
        <v>5</v>
      </c>
      <c r="O7">
        <f>IF(C7="","",COUNTIFS(Tabla1[[#All],[sem 06]],"=P",Tabla1[[#All],[llave2]],Gráficos_!C7))</f>
        <v>8</v>
      </c>
      <c r="P7">
        <f>IF(C7="","",COUNTIFS(Tabla1[[#All],[sem 07]],"=P",Tabla1[[#All],[llave2]],Gráficos_!C7))</f>
        <v>6</v>
      </c>
      <c r="Q7">
        <f>IF(C7="","",COUNTIFS(Tabla1[[#All],[sem 08]],"=P",Tabla1[[#All],[llave2]],Gráficos_!C7))</f>
        <v>8</v>
      </c>
      <c r="R7">
        <f>IF(C7="","",COUNTIFS(Tabla1[[#All],[sem 09]],"=P",Tabla1[[#All],[llave2]],Gráficos_!C7))</f>
        <v>6</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Huancayo - El Tambo-Enero-Lunes-5:00 - 7:00 p. m.-45670-Inscrito Nuevo</v>
      </c>
      <c r="AB7" t="str">
        <f t="shared" ref="AB7:AB38" si="1">IF(OR(D7="",D7="(En blanco)"),"",D7)</f>
        <v>Oratoria y Filosofía</v>
      </c>
      <c r="AC7" s="62">
        <f t="shared" ref="AC7:AC38" si="2">IF(OR(B7="",B7="(En blanco)"),"",B7)</f>
        <v>45670</v>
      </c>
      <c r="AD7" t="str">
        <f t="shared" ref="AD7:AD38" si="3">IF(OR(B7="",B7="(En blanco)"),"",TEXT(B7,"mmmm"))</f>
        <v>Enero</v>
      </c>
      <c r="AE7" t="str">
        <f>IF(OR(B7="",B7="(En blanco)"),"",TEXT(B7,"yyyy"))</f>
        <v>2025</v>
      </c>
      <c r="AF7" t="str">
        <f t="shared" ref="AF7:AF38" si="4">IF(OR(E7="",E7="(En blanco)"),"",E7)</f>
        <v>Inscrito Nuevo</v>
      </c>
      <c r="AG7" t="str">
        <f t="shared" ref="AG7:AG38" si="5">IF(OR(F7="",F7="(En blanco)"),"",F7)</f>
        <v>Angie Lopez</v>
      </c>
      <c r="AH7" t="str">
        <f t="shared" ref="AH7:AH38" si="6">IF(OR(G7="",G7="(En blanco)"),"",G7)</f>
        <v>Angie Lopez</v>
      </c>
      <c r="AI7">
        <f t="shared" ref="AI7:AI38" si="7">IF(H7="","",H7)</f>
        <v>11</v>
      </c>
      <c r="AK7">
        <f>IF(J7="","",J7)</f>
        <v>8</v>
      </c>
      <c r="AL7">
        <f t="shared" ref="AL7:AV22" si="8">IF(K7="","",K7)</f>
        <v>9</v>
      </c>
      <c r="AM7">
        <f t="shared" si="8"/>
        <v>10</v>
      </c>
      <c r="AN7">
        <f t="shared" si="8"/>
        <v>8</v>
      </c>
      <c r="AO7">
        <f t="shared" si="8"/>
        <v>5</v>
      </c>
      <c r="AP7">
        <f t="shared" si="8"/>
        <v>8</v>
      </c>
      <c r="AQ7">
        <f t="shared" si="8"/>
        <v>6</v>
      </c>
      <c r="AR7">
        <f t="shared" si="8"/>
        <v>8</v>
      </c>
      <c r="AS7">
        <f t="shared" si="8"/>
        <v>6</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418</v>
      </c>
      <c r="BE7" s="185" t="s">
        <v>31</v>
      </c>
      <c r="BF7" s="185" t="s">
        <v>32</v>
      </c>
      <c r="BG7" t="s">
        <v>419</v>
      </c>
    </row>
    <row r="8" spans="2:59">
      <c r="B8" s="62">
        <v>45670</v>
      </c>
      <c r="C8" t="s">
        <v>441</v>
      </c>
      <c r="D8" t="s">
        <v>72</v>
      </c>
      <c r="E8" t="s">
        <v>135</v>
      </c>
      <c r="F8" t="s">
        <v>139</v>
      </c>
      <c r="G8" t="s">
        <v>139</v>
      </c>
      <c r="H8" s="329">
        <v>2</v>
      </c>
      <c r="I8">
        <f>IF(C8="","",COUNTIFS(Tabla1[[#All],[¿Pasó a miembro?]],"Si",Tabla1[[#All],[Tipo Incrito]],"&lt;&gt;Pre-Inscrito",Tabla1[[#All],[llave2]],Gráficos_!C8))</f>
        <v>0</v>
      </c>
      <c r="J8" s="186">
        <f>IF(C8="","",COUNTIFS(Tabla1[[#All],[sem 01]],"=P",Tabla1[[#All],[llave2]],Gráficos_!C8))</f>
        <v>1</v>
      </c>
      <c r="K8">
        <f>IF(C8="","",COUNTIFS(Tabla1[[#All],[sem 02]],"=P",Tabla1[[#All],[llave2]],Gráficos_!C8))</f>
        <v>1</v>
      </c>
      <c r="L8">
        <f>IF(C8="","",COUNTIFS(Tabla1[[#All],[sem 03]],"=P",Tabla1[[#All],[llave2]],Gráficos_!C8))</f>
        <v>2</v>
      </c>
      <c r="M8">
        <f>IF(C8="","",COUNTIFS(Tabla1[[#All],[sem 04]],"=P",Tabla1[[#All],[llave2]],Gráficos_!C8))</f>
        <v>2</v>
      </c>
      <c r="N8">
        <f>IF(C8="","",COUNTIFS(Tabla1[[#All],[sem 05]],"=P",Tabla1[[#All],[llave2]],Gráficos_!C8))</f>
        <v>1</v>
      </c>
      <c r="O8">
        <f>IF(C8="","",COUNTIFS(Tabla1[[#All],[sem 06]],"=P",Tabla1[[#All],[llave2]],Gráficos_!C8))</f>
        <v>1</v>
      </c>
      <c r="P8">
        <f>IF(C8="","",COUNTIFS(Tabla1[[#All],[sem 07]],"=P",Tabla1[[#All],[llave2]],Gráficos_!C8))</f>
        <v>1</v>
      </c>
      <c r="Q8">
        <f>IF(C8="","",COUNTIFS(Tabla1[[#All],[sem 08]],"=P",Tabla1[[#All],[llave2]],Gráficos_!C8))</f>
        <v>1</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Huancayo - El Tambo-Enero-Lunes-7:00 - 9:00 p. m.-45670-Recuperado otro año</v>
      </c>
      <c r="AB8" t="str">
        <f t="shared" si="1"/>
        <v>Oratoria y Filosofía</v>
      </c>
      <c r="AC8" s="62">
        <f t="shared" si="2"/>
        <v>45670</v>
      </c>
      <c r="AD8" t="str">
        <f t="shared" si="3"/>
        <v>Enero</v>
      </c>
      <c r="AE8" t="str">
        <f t="shared" ref="AE8:AE71" si="13">IF(OR(B8="",B8="(En blanco)"),"",TEXT(B8,"yyyy"))</f>
        <v>2025</v>
      </c>
      <c r="AF8" t="str">
        <f t="shared" si="4"/>
        <v>Recuperado otro año</v>
      </c>
      <c r="AG8" t="str">
        <f t="shared" si="5"/>
        <v>Marta Meza</v>
      </c>
      <c r="AH8" t="str">
        <f t="shared" si="6"/>
        <v>Marta Meza</v>
      </c>
      <c r="AI8">
        <f t="shared" si="7"/>
        <v>2</v>
      </c>
      <c r="AK8">
        <f t="shared" ref="AK8:AV28" si="14">IF(J8="","",J8)</f>
        <v>1</v>
      </c>
      <c r="AL8">
        <f t="shared" si="8"/>
        <v>1</v>
      </c>
      <c r="AM8">
        <f t="shared" si="8"/>
        <v>2</v>
      </c>
      <c r="AN8">
        <f t="shared" si="8"/>
        <v>2</v>
      </c>
      <c r="AO8">
        <f t="shared" si="8"/>
        <v>1</v>
      </c>
      <c r="AP8">
        <f t="shared" si="8"/>
        <v>1</v>
      </c>
      <c r="AQ8">
        <f t="shared" si="8"/>
        <v>1</v>
      </c>
      <c r="AR8">
        <f t="shared" si="8"/>
        <v>1</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45693</v>
      </c>
      <c r="BC8" t="s">
        <v>72</v>
      </c>
      <c r="BD8" t="s">
        <v>81</v>
      </c>
      <c r="BE8" t="s">
        <v>139</v>
      </c>
      <c r="BF8" t="s">
        <v>139</v>
      </c>
      <c r="BG8" s="329">
        <v>6</v>
      </c>
    </row>
    <row r="9" spans="2:59">
      <c r="B9" s="62">
        <v>45670</v>
      </c>
      <c r="C9" t="s">
        <v>442</v>
      </c>
      <c r="D9" t="s">
        <v>72</v>
      </c>
      <c r="E9" t="s">
        <v>81</v>
      </c>
      <c r="F9" t="s">
        <v>139</v>
      </c>
      <c r="G9" t="s">
        <v>139</v>
      </c>
      <c r="H9" s="329">
        <v>2</v>
      </c>
      <c r="I9">
        <f>IF(C9="","",COUNTIFS(Tabla1[[#All],[¿Pasó a miembro?]],"Si",Tabla1[[#All],[Tipo Incrito]],"&lt;&gt;Pre-Inscrito",Tabla1[[#All],[llave2]],Gráficos_!C9))</f>
        <v>0</v>
      </c>
      <c r="J9" s="186">
        <f>IF(C9="","",COUNTIFS(Tabla1[[#All],[sem 01]],"=P",Tabla1[[#All],[llave2]],Gráficos_!C9))</f>
        <v>2</v>
      </c>
      <c r="K9">
        <f>IF(C9="","",COUNTIFS(Tabla1[[#All],[sem 02]],"=P",Tabla1[[#All],[llave2]],Gráficos_!C9))</f>
        <v>2</v>
      </c>
      <c r="L9">
        <f>IF(C9="","",COUNTIFS(Tabla1[[#All],[sem 03]],"=P",Tabla1[[#All],[llave2]],Gráficos_!C9))</f>
        <v>2</v>
      </c>
      <c r="M9">
        <f>IF(C9="","",COUNTIFS(Tabla1[[#All],[sem 04]],"=P",Tabla1[[#All],[llave2]],Gráficos_!C9))</f>
        <v>2</v>
      </c>
      <c r="N9">
        <f>IF(C9="","",COUNTIFS(Tabla1[[#All],[sem 05]],"=P",Tabla1[[#All],[llave2]],Gráficos_!C9))</f>
        <v>0</v>
      </c>
      <c r="O9">
        <f>IF(C9="","",COUNTIFS(Tabla1[[#All],[sem 06]],"=P",Tabla1[[#All],[llave2]],Gráficos_!C9))</f>
        <v>1</v>
      </c>
      <c r="P9">
        <f>IF(C9="","",COUNTIFS(Tabla1[[#All],[sem 07]],"=P",Tabla1[[#All],[llave2]],Gráficos_!C9))</f>
        <v>1</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Huancayo - El Tambo-Enero-Lunes-7:00 - 9:00 p. m.-45670-Inscrito Nuevo</v>
      </c>
      <c r="AB9" t="str">
        <f t="shared" si="1"/>
        <v>Oratoria y Filosofía</v>
      </c>
      <c r="AC9" s="62">
        <f t="shared" si="2"/>
        <v>45670</v>
      </c>
      <c r="AD9" t="str">
        <f t="shared" si="3"/>
        <v>Enero</v>
      </c>
      <c r="AE9" t="str">
        <f t="shared" si="13"/>
        <v>2025</v>
      </c>
      <c r="AF9" t="str">
        <f t="shared" si="4"/>
        <v>Inscrito Nuevo</v>
      </c>
      <c r="AG9" t="str">
        <f t="shared" si="5"/>
        <v>Marta Meza</v>
      </c>
      <c r="AH9" t="str">
        <f t="shared" si="6"/>
        <v>Marta Meza</v>
      </c>
      <c r="AI9">
        <f t="shared" si="7"/>
        <v>2</v>
      </c>
      <c r="AK9">
        <f t="shared" si="14"/>
        <v>2</v>
      </c>
      <c r="AL9">
        <f t="shared" si="8"/>
        <v>2</v>
      </c>
      <c r="AM9">
        <f t="shared" si="8"/>
        <v>2</v>
      </c>
      <c r="AN9">
        <f t="shared" si="8"/>
        <v>2</v>
      </c>
      <c r="AO9">
        <f t="shared" si="8"/>
        <v>0</v>
      </c>
      <c r="AP9">
        <f t="shared" si="8"/>
        <v>1</v>
      </c>
      <c r="AQ9">
        <f t="shared" si="8"/>
        <v>1</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45693</v>
      </c>
      <c r="BC9" t="s">
        <v>72</v>
      </c>
      <c r="BD9" t="s">
        <v>181</v>
      </c>
      <c r="BE9" t="s">
        <v>139</v>
      </c>
      <c r="BF9" t="s">
        <v>139</v>
      </c>
      <c r="BG9" s="329">
        <v>2</v>
      </c>
    </row>
    <row r="10" spans="2:59">
      <c r="B10" s="62">
        <v>45693</v>
      </c>
      <c r="C10" t="s">
        <v>443</v>
      </c>
      <c r="D10" t="s">
        <v>72</v>
      </c>
      <c r="E10" t="s">
        <v>81</v>
      </c>
      <c r="F10" t="s">
        <v>139</v>
      </c>
      <c r="G10" t="s">
        <v>139</v>
      </c>
      <c r="H10" s="329">
        <v>6</v>
      </c>
      <c r="I10">
        <f>IF(C10="","",COUNTIFS(Tabla1[[#All],[¿Pasó a miembro?]],"Si",Tabla1[[#All],[Tipo Incrito]],"&lt;&gt;Pre-Inscrito",Tabla1[[#All],[llave2]],Gráficos_!C10))</f>
        <v>0</v>
      </c>
      <c r="J10" s="186">
        <f>IF(C10="","",COUNTIFS(Tabla1[[#All],[sem 01]],"=P",Tabla1[[#All],[llave2]],Gráficos_!C10))</f>
        <v>3</v>
      </c>
      <c r="K10">
        <f>IF(C10="","",COUNTIFS(Tabla1[[#All],[sem 02]],"=P",Tabla1[[#All],[llave2]],Gráficos_!C10))</f>
        <v>5</v>
      </c>
      <c r="L10">
        <f>IF(C10="","",COUNTIFS(Tabla1[[#All],[sem 03]],"=P",Tabla1[[#All],[llave2]],Gráficos_!C10))</f>
        <v>4</v>
      </c>
      <c r="M10">
        <f>IF(C10="","",COUNTIFS(Tabla1[[#All],[sem 04]],"=P",Tabla1[[#All],[llave2]],Gráficos_!C10))</f>
        <v>3</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Huancayo - El Tambo-Febrero-Miércoles-7:00 - 9:00 p. m.-45693-Inscrito Nuevo</v>
      </c>
      <c r="AB10" t="str">
        <f t="shared" si="1"/>
        <v>Oratoria y Filosofía</v>
      </c>
      <c r="AC10" s="62">
        <f t="shared" si="2"/>
        <v>45693</v>
      </c>
      <c r="AD10" t="str">
        <f t="shared" si="3"/>
        <v>Febrero</v>
      </c>
      <c r="AE10" t="str">
        <f t="shared" si="13"/>
        <v>2025</v>
      </c>
      <c r="AF10" t="str">
        <f t="shared" si="4"/>
        <v>Inscrito Nuevo</v>
      </c>
      <c r="AG10" t="str">
        <f t="shared" si="5"/>
        <v>Marta Meza</v>
      </c>
      <c r="AH10" t="str">
        <f t="shared" si="6"/>
        <v>Marta Meza</v>
      </c>
      <c r="AI10">
        <f t="shared" si="7"/>
        <v>6</v>
      </c>
      <c r="AK10">
        <f t="shared" si="14"/>
        <v>3</v>
      </c>
      <c r="AL10">
        <f t="shared" si="8"/>
        <v>5</v>
      </c>
      <c r="AM10">
        <f t="shared" si="8"/>
        <v>4</v>
      </c>
      <c r="AN10">
        <f t="shared" si="8"/>
        <v>3</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row>
    <row r="11" spans="2:59">
      <c r="B11" s="62">
        <v>45693</v>
      </c>
      <c r="C11" t="s">
        <v>444</v>
      </c>
      <c r="D11" t="s">
        <v>72</v>
      </c>
      <c r="E11" t="s">
        <v>181</v>
      </c>
      <c r="F11" t="s">
        <v>139</v>
      </c>
      <c r="G11" t="s">
        <v>139</v>
      </c>
      <c r="H11" s="329">
        <v>2</v>
      </c>
      <c r="I11">
        <f>IF(C11="","",COUNTIFS(Tabla1[[#All],[¿Pasó a miembro?]],"Si",Tabla1[[#All],[Tipo Incrito]],"&lt;&gt;Pre-Inscrito",Tabla1[[#All],[llave2]],Gráficos_!C11))</f>
        <v>0</v>
      </c>
      <c r="J11" s="186">
        <f>IF(C11="","",COUNTIFS(Tabla1[[#All],[sem 01]],"=P",Tabla1[[#All],[llave2]],Gráficos_!C11))</f>
        <v>0</v>
      </c>
      <c r="K11">
        <f>IF(C11="","",COUNTIFS(Tabla1[[#All],[sem 02]],"=P",Tabla1[[#All],[llave2]],Gráficos_!C11))</f>
        <v>0</v>
      </c>
      <c r="L11">
        <f>IF(C11="","",COUNTIFS(Tabla1[[#All],[sem 03]],"=P",Tabla1[[#All],[llave2]],Gráficos_!C11))</f>
        <v>0</v>
      </c>
      <c r="M11">
        <f>IF(C11="","",COUNTIFS(Tabla1[[#All],[sem 04]],"=P",Tabla1[[#All],[llave2]],Gráficos_!C11))</f>
        <v>1</v>
      </c>
      <c r="N11">
        <f>IF(C11="","",COUNTIFS(Tabla1[[#All],[sem 05]],"=P",Tabla1[[#All],[llave2]],Gráficos_!C11))</f>
        <v>1</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Huancayo - El Tambo-Febrero-Miércoles-7:00 - 9:00 p. m.-45693-Cambio de horario</v>
      </c>
      <c r="AB11" t="str">
        <f t="shared" si="1"/>
        <v>Oratoria y Filosofía</v>
      </c>
      <c r="AC11" s="62">
        <f t="shared" si="2"/>
        <v>45693</v>
      </c>
      <c r="AD11" t="str">
        <f t="shared" si="3"/>
        <v>Febrero</v>
      </c>
      <c r="AE11" t="str">
        <f t="shared" si="13"/>
        <v>2025</v>
      </c>
      <c r="AF11" t="str">
        <f t="shared" si="4"/>
        <v>Cambio de horario</v>
      </c>
      <c r="AG11" t="str">
        <f t="shared" si="5"/>
        <v>Marta Meza</v>
      </c>
      <c r="AH11" t="str">
        <f t="shared" si="6"/>
        <v>Marta Meza</v>
      </c>
      <c r="AI11">
        <f t="shared" si="7"/>
        <v>2</v>
      </c>
      <c r="AK11">
        <f t="shared" si="14"/>
        <v>0</v>
      </c>
      <c r="AL11">
        <f t="shared" si="8"/>
        <v>0</v>
      </c>
      <c r="AM11">
        <f t="shared" si="8"/>
        <v>0</v>
      </c>
      <c r="AN11">
        <f t="shared" si="8"/>
        <v>1</v>
      </c>
      <c r="AO11">
        <f t="shared" si="8"/>
        <v>1</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row>
    <row r="12" spans="2:59">
      <c r="B12" s="62">
        <v>45721</v>
      </c>
      <c r="C12" t="s">
        <v>445</v>
      </c>
      <c r="D12" t="s">
        <v>72</v>
      </c>
      <c r="E12" t="s">
        <v>81</v>
      </c>
      <c r="F12" t="s">
        <v>82</v>
      </c>
      <c r="G12" t="s">
        <v>82</v>
      </c>
      <c r="H12" s="329">
        <v>3</v>
      </c>
      <c r="I12">
        <f>IF(C12="","",COUNTIFS(Tabla1[[#All],[¿Pasó a miembro?]],"Si",Tabla1[[#All],[Tipo Incrito]],"&lt;&gt;Pre-Inscrito",Tabla1[[#All],[llave2]],Gráficos_!C12))</f>
        <v>0</v>
      </c>
      <c r="J12" s="186">
        <f>IF(C12="","",COUNTIFS(Tabla1[[#All],[sem 01]],"=P",Tabla1[[#All],[llave2]],Gráficos_!C12))</f>
        <v>3</v>
      </c>
      <c r="K12">
        <f>IF(C12="","",COUNTIFS(Tabla1[[#All],[sem 02]],"=P",Tabla1[[#All],[llave2]],Gráficos_!C12))</f>
        <v>0</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Huancayo - El Tambo-Marzo-Miércoles-7:00 - 9:00 p. m.-45721-Inscrito Nuevo</v>
      </c>
      <c r="AB12" t="str">
        <f t="shared" si="1"/>
        <v>Oratoria y Filosofía</v>
      </c>
      <c r="AC12" s="62">
        <f t="shared" si="2"/>
        <v>45721</v>
      </c>
      <c r="AD12" t="str">
        <f t="shared" si="3"/>
        <v>Marzo</v>
      </c>
      <c r="AE12" t="str">
        <f t="shared" si="13"/>
        <v>2025</v>
      </c>
      <c r="AF12" t="str">
        <f t="shared" si="4"/>
        <v>Inscrito Nuevo</v>
      </c>
      <c r="AG12" t="str">
        <f t="shared" si="5"/>
        <v>Angie Lopez</v>
      </c>
      <c r="AH12" t="str">
        <f t="shared" si="6"/>
        <v>Angie Lopez</v>
      </c>
      <c r="AI12">
        <f t="shared" si="7"/>
        <v>3</v>
      </c>
      <c r="AK12">
        <f t="shared" si="14"/>
        <v>3</v>
      </c>
      <c r="AL12">
        <f t="shared" si="8"/>
        <v>0</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446</v>
      </c>
      <c r="CQ44" t="s">
        <v>447</v>
      </c>
      <c r="CR44" t="s">
        <v>448</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449</v>
      </c>
      <c r="CN45" t="s">
        <v>449</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45670</v>
      </c>
      <c r="CN46" t="s">
        <v>440</v>
      </c>
      <c r="CO46" t="s">
        <v>81</v>
      </c>
      <c r="CP46" s="329">
        <v>11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45670</v>
      </c>
      <c r="CN47" t="s">
        <v>441</v>
      </c>
      <c r="CO47" t="s">
        <v>135</v>
      </c>
      <c r="CP47" s="329">
        <v>2</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45670</v>
      </c>
      <c r="CN48" t="s">
        <v>442</v>
      </c>
      <c r="CO48" t="s">
        <v>81</v>
      </c>
      <c r="CP48" s="329">
        <v>2</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45693</v>
      </c>
      <c r="CN49" t="s">
        <v>443</v>
      </c>
      <c r="CO49" t="s">
        <v>81</v>
      </c>
      <c r="CP49" s="329">
        <v>6</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45693</v>
      </c>
      <c r="CN50" t="s">
        <v>444</v>
      </c>
      <c r="CO50" t="s">
        <v>181</v>
      </c>
      <c r="CP50" s="329">
        <v>2</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45721</v>
      </c>
      <c r="CN51" t="s">
        <v>445</v>
      </c>
      <c r="CO51" t="s">
        <v>81</v>
      </c>
      <c r="CP51" s="329">
        <v>3</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t="s">
        <v>404</v>
      </c>
      <c r="CN52" t="s">
        <v>404</v>
      </c>
      <c r="CO52" t="s">
        <v>404</v>
      </c>
      <c r="CP52" s="329"/>
      <c r="CQ52" s="329"/>
      <c r="CR52" s="205" t="e">
        <v>#DIV/0!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t="s">
        <v>450</v>
      </c>
      <c r="CP53" s="329">
        <v>26</v>
      </c>
      <c r="CQ53" s="329">
        <v>0</v>
      </c>
      <c r="CR53" s="205">
        <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451</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416</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452</v>
      </c>
      <c r="BQ103" t="s">
        <v>453</v>
      </c>
      <c r="BR103" t="s">
        <v>454</v>
      </c>
      <c r="BS103" t="s">
        <v>455</v>
      </c>
      <c r="BT103" t="s">
        <v>456</v>
      </c>
      <c r="BU103" t="s">
        <v>457</v>
      </c>
      <c r="BV103" t="s">
        <v>458</v>
      </c>
      <c r="BW103" t="s">
        <v>459</v>
      </c>
      <c r="BX103" t="s">
        <v>460</v>
      </c>
      <c r="BY103" t="s">
        <v>461</v>
      </c>
      <c r="BZ103" t="s">
        <v>462</v>
      </c>
      <c r="CA103" t="s">
        <v>463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449</v>
      </c>
      <c r="BL104" t="s">
        <v>449</v>
      </c>
      <c r="BM104" t="s">
        <v>449</v>
      </c>
      <c r="BN104" t="s">
        <v>449</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45670</v>
      </c>
      <c r="BL105" t="s">
        <v>464</v>
      </c>
      <c r="BM105" t="s">
        <v>81</v>
      </c>
      <c r="BN105" t="s">
        <v>82</v>
      </c>
      <c r="BO105" t="s">
        <v>82</v>
      </c>
      <c r="BP105" s="329">
        <v>8</v>
      </c>
      <c r="BQ105" s="329">
        <v>9</v>
      </c>
      <c r="BR105" s="329">
        <v>10</v>
      </c>
      <c r="BS105" s="329">
        <v>8</v>
      </c>
      <c r="BT105" s="329">
        <v>5</v>
      </c>
      <c r="BU105" s="329">
        <v>8</v>
      </c>
      <c r="BV105" s="329">
        <v>6</v>
      </c>
      <c r="BW105" s="329">
        <v>8</v>
      </c>
      <c r="BX105" s="329">
        <v>6</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45670</v>
      </c>
      <c r="BL106" t="s">
        <v>464</v>
      </c>
      <c r="BM106" t="s">
        <v>81</v>
      </c>
      <c r="BN106" t="s">
        <v>139</v>
      </c>
      <c r="BO106" t="s">
        <v>139</v>
      </c>
      <c r="BP106" s="329">
        <v>2</v>
      </c>
      <c r="BQ106" s="329">
        <v>2</v>
      </c>
      <c r="BR106" s="329">
        <v>2</v>
      </c>
      <c r="BS106" s="329">
        <v>2</v>
      </c>
      <c r="BT106" s="329">
        <v>0</v>
      </c>
      <c r="BU106" s="329">
        <v>1</v>
      </c>
      <c r="BV106" s="329">
        <v>1</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45670</v>
      </c>
      <c r="BL107" t="s">
        <v>464</v>
      </c>
      <c r="BM107" t="s">
        <v>135</v>
      </c>
      <c r="BN107" t="s">
        <v>139</v>
      </c>
      <c r="BO107" t="s">
        <v>139</v>
      </c>
      <c r="BP107" s="329">
        <v>1</v>
      </c>
      <c r="BQ107" s="329">
        <v>1</v>
      </c>
      <c r="BR107" s="329">
        <v>2</v>
      </c>
      <c r="BS107" s="329">
        <v>2</v>
      </c>
      <c r="BT107" s="329">
        <v>1</v>
      </c>
      <c r="BU107" s="329">
        <v>1</v>
      </c>
      <c r="BV107" s="329">
        <v>1</v>
      </c>
      <c r="BW107" s="329">
        <v>1</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45693</v>
      </c>
      <c r="BL108" t="s">
        <v>465</v>
      </c>
      <c r="BM108" t="s">
        <v>81</v>
      </c>
      <c r="BN108" t="s">
        <v>139</v>
      </c>
      <c r="BO108" t="s">
        <v>139</v>
      </c>
      <c r="BP108" s="329">
        <v>3</v>
      </c>
      <c r="BQ108" s="329">
        <v>5</v>
      </c>
      <c r="BR108" s="329">
        <v>4</v>
      </c>
      <c r="BS108" s="329">
        <v>3</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45693</v>
      </c>
      <c r="BL109" t="s">
        <v>465</v>
      </c>
      <c r="BM109" t="s">
        <v>181</v>
      </c>
      <c r="BN109" t="s">
        <v>139</v>
      </c>
      <c r="BO109" t="s">
        <v>139</v>
      </c>
      <c r="BP109" s="329">
        <v>0</v>
      </c>
      <c r="BQ109" s="329">
        <v>0</v>
      </c>
      <c r="BR109" s="329">
        <v>0</v>
      </c>
      <c r="BS109" s="329">
        <v>1</v>
      </c>
      <c r="BT109" s="329">
        <v>1</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s="62">
        <v>45721</v>
      </c>
      <c r="BL110" t="s">
        <v>466</v>
      </c>
      <c r="BM110" t="s">
        <v>81</v>
      </c>
      <c r="BN110" t="s">
        <v>82</v>
      </c>
      <c r="BO110" t="s">
        <v>82</v>
      </c>
      <c r="BP110" s="329">
        <v>3</v>
      </c>
      <c r="BQ110" s="329">
        <v>0</v>
      </c>
      <c r="BR110" s="329">
        <v>0</v>
      </c>
      <c r="BS110" s="329">
        <v>0</v>
      </c>
      <c r="BT110" s="329">
        <v>0</v>
      </c>
      <c r="BU110" s="329">
        <v>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c r="BK111" t="s">
        <v>450</v>
      </c>
      <c r="BP111" s="329">
        <v>17</v>
      </c>
      <c r="BQ111" s="329">
        <v>17</v>
      </c>
      <c r="BR111" s="329">
        <v>18</v>
      </c>
      <c r="BS111" s="329">
        <v>16</v>
      </c>
      <c r="BT111" s="329">
        <v>7</v>
      </c>
      <c r="BU111" s="329">
        <v>10</v>
      </c>
      <c r="BV111" s="329">
        <v>8</v>
      </c>
      <c r="BW111" s="329">
        <v>9</v>
      </c>
      <c r="BX111" s="329">
        <v>6</v>
      </c>
      <c r="BY111" s="329">
        <v>0</v>
      </c>
      <c r="BZ111" s="329">
        <v>0</v>
      </c>
      <c r="CA111" s="329">
        <v>0</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467</v>
      </c>
      <c r="E3" t="s">
        <v>31</v>
      </c>
      <c r="F3" t="s">
        <v>468</v>
      </c>
      <c r="G3" t="s">
        <v>469</v>
      </c>
      <c r="H3" t="s">
        <v>470</v>
      </c>
      <c r="J3" t="s">
        <v>233</v>
      </c>
      <c r="K3" t="s">
        <v>234</v>
      </c>
      <c r="L3" t="s">
        <v>235</v>
      </c>
      <c r="M3" t="s">
        <v>471</v>
      </c>
    </row>
    <row r="4" spans="2:16">
      <c r="D4" t="s">
        <v>472</v>
      </c>
      <c r="J4" s="19" t="s">
        <v>83</v>
      </c>
      <c r="K4" s="19" t="s">
        <v>83</v>
      </c>
      <c r="L4" s="19" t="s">
        <v>83</v>
      </c>
      <c r="M4" s="19" t="str">
        <f>+J4&amp;K4&amp;L4</f>
        <v>PPP</v>
      </c>
      <c r="N4" t="s">
        <v>250</v>
      </c>
      <c r="O4" t="str">
        <f>+SUBSTITUTE(J4&amp;K4&amp;L4,"P","T")</f>
        <v>TTT</v>
      </c>
      <c r="P4" t="str">
        <f>+SUBSTITUTE(J4&amp;K4&amp;L4,"T","P")</f>
        <v>PPP</v>
      </c>
    </row>
    <row r="5" spans="2:16">
      <c r="J5" s="19" t="s">
        <v>83</v>
      </c>
      <c r="K5" s="19" t="s">
        <v>83</v>
      </c>
      <c r="L5" s="19" t="s">
        <v>84</v>
      </c>
      <c r="M5" s="19" t="str">
        <f t="shared" ref="M5:M15" si="0">+J5&amp;K5&amp;L5</f>
        <v>PPF</v>
      </c>
      <c r="N5" t="s">
        <v>250</v>
      </c>
      <c r="O5" t="str">
        <f t="shared" ref="O5:O6" si="1">+SUBSTITUTE(J5&amp;K5&amp;L5,"P","T")</f>
        <v>TTF</v>
      </c>
    </row>
    <row r="6" spans="2:16">
      <c r="J6" s="19" t="s">
        <v>83</v>
      </c>
      <c r="K6" s="19" t="s">
        <v>84</v>
      </c>
      <c r="L6" s="19" t="s">
        <v>83</v>
      </c>
      <c r="M6" s="19" t="str">
        <f t="shared" si="0"/>
        <v>PFP</v>
      </c>
      <c r="N6" t="s">
        <v>250</v>
      </c>
      <c r="O6" t="str">
        <f t="shared" si="1"/>
        <v>TFT</v>
      </c>
    </row>
    <row r="7" spans="2:16">
      <c r="J7" t="s">
        <v>83</v>
      </c>
      <c r="K7" t="s">
        <v>84</v>
      </c>
      <c r="L7" t="s">
        <v>84</v>
      </c>
      <c r="M7" t="str">
        <f t="shared" si="0"/>
        <v>PFF</v>
      </c>
      <c r="N7" s="20" t="s">
        <v>288</v>
      </c>
    </row>
    <row r="8" spans="2:16">
      <c r="J8" s="19" t="s">
        <v>84</v>
      </c>
      <c r="K8" s="19" t="s">
        <v>83</v>
      </c>
      <c r="L8" s="19" t="s">
        <v>83</v>
      </c>
      <c r="M8" s="19" t="str">
        <f t="shared" si="0"/>
        <v>FPP</v>
      </c>
      <c r="N8" t="s">
        <v>250</v>
      </c>
    </row>
    <row r="9" spans="2:16">
      <c r="J9" t="s">
        <v>84</v>
      </c>
      <c r="K9" t="s">
        <v>83</v>
      </c>
      <c r="L9" t="s">
        <v>84</v>
      </c>
      <c r="M9" t="str">
        <f t="shared" si="0"/>
        <v>FPF</v>
      </c>
      <c r="N9" s="20" t="s">
        <v>288</v>
      </c>
    </row>
    <row r="10" spans="2:16">
      <c r="J10" s="19" t="s">
        <v>84</v>
      </c>
      <c r="K10" s="19" t="s">
        <v>84</v>
      </c>
      <c r="L10" s="19" t="s">
        <v>83</v>
      </c>
      <c r="M10" s="19" t="str">
        <f t="shared" si="0"/>
        <v>FFP</v>
      </c>
      <c r="N10" t="s">
        <v>250</v>
      </c>
    </row>
    <row r="11" spans="2:16">
      <c r="J11" t="s">
        <v>84</v>
      </c>
      <c r="K11" t="s">
        <v>84</v>
      </c>
      <c r="L11" t="s">
        <v>84</v>
      </c>
      <c r="M11" t="str">
        <f t="shared" si="0"/>
        <v>FFF</v>
      </c>
      <c r="N11" s="20" t="s">
        <v>288</v>
      </c>
    </row>
    <row r="12" spans="2:16">
      <c r="E12" t="s">
        <v>473</v>
      </c>
    </row>
    <row r="13" spans="2:16">
      <c r="J13" t="s">
        <v>83</v>
      </c>
      <c r="K13" t="s">
        <v>83</v>
      </c>
      <c r="L13" t="s">
        <v>326</v>
      </c>
      <c r="M13" t="str">
        <f t="shared" si="0"/>
        <v>PPCG</v>
      </c>
      <c r="N13" s="23" t="s">
        <v>250</v>
      </c>
    </row>
    <row r="14" spans="2:16">
      <c r="J14" s="23" t="s">
        <v>83</v>
      </c>
      <c r="K14" s="23" t="s">
        <v>326</v>
      </c>
      <c r="L14" s="23" t="s">
        <v>83</v>
      </c>
      <c r="M14" t="str">
        <f t="shared" si="0"/>
        <v>PCGP</v>
      </c>
      <c r="N14" s="23" t="s">
        <v>250</v>
      </c>
    </row>
    <row r="15" spans="2:16">
      <c r="J15" s="23" t="s">
        <v>326</v>
      </c>
      <c r="K15" s="23" t="s">
        <v>83</v>
      </c>
      <c r="L15" s="23" t="s">
        <v>83</v>
      </c>
      <c r="M15" t="str">
        <f t="shared" si="0"/>
        <v>CGPP</v>
      </c>
      <c r="N15" s="23" t="s">
        <v>250</v>
      </c>
    </row>
    <row r="18" spans="17:18" ht="15">
      <c r="Q18" s="21" t="s">
        <v>474</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475</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476</v>
      </c>
      <c r="D4" s="106" t="s">
        <v>477</v>
      </c>
      <c r="E4" s="106" t="s">
        <v>478</v>
      </c>
      <c r="F4" s="87" t="s">
        <v>479</v>
      </c>
      <c r="G4" s="83"/>
      <c r="H4" s="101" t="s">
        <v>480</v>
      </c>
      <c r="I4" s="88"/>
      <c r="J4" s="88"/>
      <c r="K4" s="85"/>
      <c r="L4" s="83"/>
      <c r="M4" s="83"/>
    </row>
    <row r="5" spans="1:13">
      <c r="A5" s="83"/>
      <c r="B5" s="96" t="s">
        <v>481</v>
      </c>
      <c r="C5" s="107" t="s">
        <v>83</v>
      </c>
      <c r="D5" s="108" t="s">
        <v>83</v>
      </c>
      <c r="E5" s="108" t="s">
        <v>83</v>
      </c>
      <c r="F5" s="89" t="s">
        <v>253</v>
      </c>
      <c r="G5" s="83"/>
      <c r="H5" s="85" t="s">
        <v>482</v>
      </c>
      <c r="I5" s="83"/>
      <c r="J5" s="83"/>
      <c r="K5" s="85"/>
      <c r="L5" s="90"/>
      <c r="M5" s="90"/>
    </row>
    <row r="6" spans="1:13">
      <c r="A6" s="83"/>
      <c r="B6" s="97" t="s">
        <v>481</v>
      </c>
      <c r="C6" s="107" t="s">
        <v>83</v>
      </c>
      <c r="D6" s="108" t="s">
        <v>83</v>
      </c>
      <c r="E6" s="108" t="s">
        <v>84</v>
      </c>
      <c r="F6" s="89" t="s">
        <v>253</v>
      </c>
      <c r="G6" s="83"/>
      <c r="H6" s="85" t="s">
        <v>483</v>
      </c>
      <c r="I6" s="83"/>
      <c r="J6" s="83"/>
      <c r="K6" s="85"/>
      <c r="L6" s="90"/>
      <c r="M6" s="90"/>
    </row>
    <row r="7" spans="1:13" ht="15" customHeight="1">
      <c r="A7" s="83"/>
      <c r="B7" s="97" t="s">
        <v>481</v>
      </c>
      <c r="C7" s="107" t="s">
        <v>83</v>
      </c>
      <c r="D7" s="108" t="s">
        <v>84</v>
      </c>
      <c r="E7" s="108" t="s">
        <v>83</v>
      </c>
      <c r="F7" s="89" t="s">
        <v>253</v>
      </c>
      <c r="G7" s="83"/>
      <c r="H7" s="109"/>
      <c r="I7" s="83"/>
      <c r="J7" s="83"/>
      <c r="K7" s="83"/>
      <c r="L7" s="83"/>
      <c r="M7" s="90"/>
    </row>
    <row r="8" spans="1:13">
      <c r="A8" s="83"/>
      <c r="B8" s="97" t="s">
        <v>481</v>
      </c>
      <c r="C8" s="107" t="s">
        <v>84</v>
      </c>
      <c r="D8" s="108" t="s">
        <v>84</v>
      </c>
      <c r="E8" s="108" t="s">
        <v>83</v>
      </c>
      <c r="F8" s="89" t="s">
        <v>253</v>
      </c>
      <c r="G8" s="83"/>
      <c r="H8" s="109" t="s">
        <v>484</v>
      </c>
      <c r="I8" s="83"/>
      <c r="J8" s="83"/>
      <c r="K8" s="83"/>
      <c r="L8" s="90"/>
      <c r="M8" s="90"/>
    </row>
    <row r="9" spans="1:13">
      <c r="A9" s="83"/>
      <c r="B9" s="97" t="s">
        <v>481</v>
      </c>
      <c r="C9" s="107" t="s">
        <v>83</v>
      </c>
      <c r="D9" s="108" t="s">
        <v>84</v>
      </c>
      <c r="E9" s="108" t="s">
        <v>84</v>
      </c>
      <c r="F9" s="91" t="s">
        <v>264</v>
      </c>
      <c r="G9" s="83"/>
      <c r="H9" s="83" t="s">
        <v>485</v>
      </c>
      <c r="I9" s="83"/>
      <c r="J9" s="83"/>
      <c r="K9" s="83"/>
      <c r="L9" s="90"/>
      <c r="M9" s="90"/>
    </row>
    <row r="10" spans="1:13">
      <c r="A10" s="83"/>
      <c r="B10" s="97" t="s">
        <v>481</v>
      </c>
      <c r="C10" s="107" t="s">
        <v>84</v>
      </c>
      <c r="D10" s="108" t="s">
        <v>84</v>
      </c>
      <c r="E10" s="108" t="s">
        <v>84</v>
      </c>
      <c r="F10" s="91" t="s">
        <v>264</v>
      </c>
      <c r="G10" s="83"/>
      <c r="H10" s="85"/>
      <c r="I10" s="83"/>
      <c r="J10" s="83"/>
      <c r="K10" s="85"/>
      <c r="L10" s="90"/>
      <c r="M10" s="90"/>
    </row>
    <row r="11" spans="1:13">
      <c r="A11" s="83"/>
      <c r="B11" s="97" t="s">
        <v>481</v>
      </c>
      <c r="C11" s="107" t="s">
        <v>84</v>
      </c>
      <c r="D11" s="108" t="s">
        <v>83</v>
      </c>
      <c r="E11" s="108" t="s">
        <v>84</v>
      </c>
      <c r="F11" s="91" t="s">
        <v>264</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486</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487</v>
      </c>
      <c r="D16" s="86" t="s">
        <v>488</v>
      </c>
      <c r="E16" s="86" t="s">
        <v>489</v>
      </c>
      <c r="F16" s="87" t="s">
        <v>73</v>
      </c>
      <c r="G16" s="87" t="s">
        <v>154</v>
      </c>
      <c r="H16" s="102" t="s">
        <v>182</v>
      </c>
      <c r="I16" s="87" t="s">
        <v>199</v>
      </c>
      <c r="J16" s="87" t="s">
        <v>200</v>
      </c>
      <c r="K16" s="85"/>
      <c r="L16" s="83"/>
      <c r="M16" s="83"/>
    </row>
    <row r="17" spans="1:13">
      <c r="A17" s="83"/>
      <c r="B17" s="96" t="s">
        <v>481</v>
      </c>
      <c r="C17" s="100" t="s">
        <v>73</v>
      </c>
      <c r="D17" s="89">
        <v>5</v>
      </c>
      <c r="E17" s="95">
        <v>4</v>
      </c>
      <c r="F17" s="89">
        <v>4</v>
      </c>
      <c r="G17" s="89">
        <v>4</v>
      </c>
      <c r="H17" s="100">
        <v>4</v>
      </c>
      <c r="I17" s="89" t="s">
        <v>292</v>
      </c>
      <c r="J17" s="89" t="s">
        <v>292</v>
      </c>
      <c r="K17" s="85"/>
      <c r="L17" s="83"/>
      <c r="M17" s="83"/>
    </row>
    <row r="18" spans="1:13">
      <c r="A18" s="83"/>
      <c r="B18" s="97" t="s">
        <v>261</v>
      </c>
      <c r="C18" s="100" t="s">
        <v>154</v>
      </c>
      <c r="D18" s="89">
        <v>10</v>
      </c>
      <c r="E18" s="91">
        <v>8</v>
      </c>
      <c r="F18" s="89" t="s">
        <v>292</v>
      </c>
      <c r="G18" s="89">
        <v>8</v>
      </c>
      <c r="H18" s="100">
        <v>8</v>
      </c>
      <c r="I18" s="89">
        <v>8</v>
      </c>
      <c r="J18" s="89" t="s">
        <v>292</v>
      </c>
      <c r="K18" s="85"/>
      <c r="L18" s="83"/>
      <c r="M18" s="83"/>
    </row>
    <row r="19" spans="1:13">
      <c r="A19" s="83"/>
      <c r="B19" s="97" t="s">
        <v>286</v>
      </c>
      <c r="C19" s="100" t="s">
        <v>154</v>
      </c>
      <c r="D19" s="89">
        <v>7</v>
      </c>
      <c r="E19" s="91">
        <v>5</v>
      </c>
      <c r="F19" s="89" t="s">
        <v>292</v>
      </c>
      <c r="G19" s="89">
        <v>5</v>
      </c>
      <c r="H19" s="100">
        <v>5</v>
      </c>
      <c r="I19" s="89">
        <v>5</v>
      </c>
      <c r="J19" s="89" t="s">
        <v>292</v>
      </c>
      <c r="K19" s="85"/>
      <c r="L19" s="83"/>
      <c r="M19" s="83"/>
    </row>
    <row r="20" spans="1:13">
      <c r="A20" s="83"/>
      <c r="B20" s="97" t="s">
        <v>490</v>
      </c>
      <c r="C20" s="100" t="s">
        <v>182</v>
      </c>
      <c r="D20" s="89">
        <v>8</v>
      </c>
      <c r="E20" s="91">
        <v>6</v>
      </c>
      <c r="F20" s="89" t="s">
        <v>292</v>
      </c>
      <c r="G20" s="89" t="s">
        <v>292</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491</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2025-03-11T21:47:07Z</dcterms:modified>
  <cp:category/>
  <cp:contentStatus/>
</cp:coreProperties>
</file>