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25" documentId="13_ncr:1_{57170E6C-BD4A-4CDA-A0A5-3CAFCD3B73D4}" xr6:coauthVersionLast="47" xr6:coauthVersionMax="47" xr10:uidLastSave="{473C4878-E8E1-42DC-BCF6-CA5236B112C8}"/>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7837" r:id="rId8"/>
    <pivotCache cacheId="7846" r:id="rId9"/>
    <pivotCache cacheId="7859" r:id="rId10"/>
    <pivotCache cacheId="786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K14" i="8"/>
  <c r="L14" i="8" s="1"/>
  <c r="M14" i="8" s="1"/>
  <c r="N14" i="8" s="1"/>
  <c r="O14" i="8" s="1"/>
  <c r="P14" i="8" s="1"/>
  <c r="Q14" i="8" s="1"/>
  <c r="R14" i="8" s="1"/>
  <c r="S14" i="8" s="1"/>
  <c r="T14" i="8" s="1"/>
  <c r="U14" i="8" s="1"/>
  <c r="V14" i="8" s="1"/>
  <c r="W14" i="8" s="1"/>
  <c r="X14" i="8" s="1"/>
  <c r="Y14" i="8" s="1"/>
  <c r="J14" i="8"/>
  <c r="K13" i="8"/>
  <c r="L13" i="8" s="1"/>
  <c r="M13" i="8" s="1"/>
  <c r="N13" i="8" s="1"/>
  <c r="O13" i="8" s="1"/>
  <c r="P13" i="8" s="1"/>
  <c r="Q13" i="8" s="1"/>
  <c r="R13" i="8" s="1"/>
  <c r="S13" i="8" s="1"/>
  <c r="T13" i="8" s="1"/>
  <c r="U13" i="8" s="1"/>
  <c r="V13" i="8" s="1"/>
  <c r="W13" i="8" s="1"/>
  <c r="X13" i="8" s="1"/>
  <c r="Y13" i="8" s="1"/>
  <c r="J13" i="8"/>
  <c r="K12" i="8"/>
  <c r="L12" i="8" s="1"/>
  <c r="M12" i="8" s="1"/>
  <c r="N12" i="8" s="1"/>
  <c r="O12" i="8" s="1"/>
  <c r="P12" i="8" s="1"/>
  <c r="Q12" i="8" s="1"/>
  <c r="R12" i="8" s="1"/>
  <c r="S12" i="8" s="1"/>
  <c r="T12" i="8" s="1"/>
  <c r="U12" i="8" s="1"/>
  <c r="V12" i="8" s="1"/>
  <c r="W12" i="8" s="1"/>
  <c r="X12" i="8" s="1"/>
  <c r="Y12" i="8" s="1"/>
  <c r="J12" i="8"/>
  <c r="K11" i="8"/>
  <c r="L11" i="8" s="1"/>
  <c r="M11" i="8" s="1"/>
  <c r="N11" i="8" s="1"/>
  <c r="O11" i="8" s="1"/>
  <c r="P11" i="8" s="1"/>
  <c r="Q11" i="8" s="1"/>
  <c r="R11" i="8" s="1"/>
  <c r="S11" i="8" s="1"/>
  <c r="T11" i="8" s="1"/>
  <c r="U11" i="8" s="1"/>
  <c r="V11" i="8" s="1"/>
  <c r="W11" i="8" s="1"/>
  <c r="X11" i="8" s="1"/>
  <c r="Y11" i="8" s="1"/>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AZ75" i="1" s="1"/>
  <c r="U76" i="1"/>
  <c r="V76" i="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6"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4" i="1" l="1"/>
  <c r="BI5" i="1"/>
  <c r="BI6" i="1"/>
  <c r="BI7" i="1"/>
  <c r="BI8" i="1"/>
  <c r="BI9" i="1"/>
  <c r="BI10" i="1"/>
  <c r="BI11" i="1"/>
  <c r="BI12" i="1"/>
  <c r="AZ4"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P7" i="9" l="1"/>
  <c r="O7" i="9"/>
  <c r="M7" i="9"/>
  <c r="Q7" i="9"/>
  <c r="G7" i="9"/>
  <c r="K7" i="9"/>
  <c r="N7" i="9"/>
  <c r="I7" i="9"/>
  <c r="L7" i="9"/>
  <c r="H7" i="9"/>
  <c r="J7" i="9"/>
  <c r="Q8" i="9"/>
  <c r="P8" i="9"/>
  <c r="O8" i="9"/>
  <c r="N8" i="9"/>
  <c r="M8" i="9"/>
  <c r="L8" i="9"/>
  <c r="K8" i="9"/>
  <c r="J8" i="9"/>
  <c r="I8" i="9"/>
  <c r="H8" i="9"/>
  <c r="G8" i="9"/>
  <c r="F8" i="9"/>
  <c r="C8" i="9" s="1"/>
  <c r="F7" i="9"/>
  <c r="C7" i="9" s="1"/>
  <c r="D8" i="9"/>
  <c r="P10" i="9"/>
  <c r="O10" i="9"/>
  <c r="N10" i="9"/>
  <c r="M10" i="9"/>
  <c r="K10" i="9"/>
  <c r="J10" i="9"/>
  <c r="I10" i="9"/>
  <c r="H10" i="9"/>
  <c r="Q10" i="9"/>
  <c r="G10" i="9"/>
  <c r="F10" i="9"/>
  <c r="L10" i="9"/>
  <c r="D17" i="9"/>
  <c r="C17" i="9"/>
  <c r="D16" i="9"/>
  <c r="C16" i="9"/>
  <c r="C10" i="9" l="1"/>
  <c r="C14" i="9"/>
  <c r="C15" i="9"/>
  <c r="C12" i="9"/>
  <c r="D7" i="9"/>
  <c r="D10" i="9"/>
  <c r="F15" i="9"/>
  <c r="F14" i="9"/>
  <c r="F12" i="9"/>
  <c r="G5" i="9" s="1"/>
  <c r="D15" i="9" l="1"/>
  <c r="D12" i="9"/>
  <c r="D14" i="9"/>
  <c r="G14" i="9"/>
  <c r="G15" i="9"/>
  <c r="G12" i="9"/>
  <c r="H5" i="9" s="1"/>
  <c r="H12" i="9" l="1"/>
  <c r="I5" i="9" s="1"/>
  <c r="H14" i="9"/>
  <c r="H15" i="9"/>
  <c r="I12" i="9" l="1"/>
  <c r="J5" i="9" s="1"/>
  <c r="I14" i="9"/>
  <c r="I15" i="9"/>
  <c r="J12" i="9"/>
  <c r="J14" i="9"/>
  <c r="J15" i="9"/>
  <c r="K5" i="9" l="1"/>
  <c r="K12" i="9" l="1"/>
  <c r="K14" i="9"/>
  <c r="K15" i="9"/>
  <c r="L5" i="9" l="1"/>
  <c r="L12" i="9" l="1"/>
  <c r="L14" i="9"/>
  <c r="L15" i="9"/>
  <c r="M5" i="9" l="1"/>
  <c r="M12" i="9" l="1"/>
  <c r="N5" i="9" s="1"/>
  <c r="M14" i="9"/>
  <c r="M15" i="9"/>
  <c r="N12" i="9" l="1"/>
  <c r="O5" i="9" s="1"/>
  <c r="N15" i="9"/>
  <c r="N14" i="9"/>
  <c r="O12" i="9" l="1"/>
  <c r="P5" i="9" s="1"/>
  <c r="O14" i="9"/>
  <c r="O15" i="9"/>
  <c r="P12" i="9" l="1"/>
  <c r="Q5" i="9" s="1"/>
  <c r="P14" i="9"/>
  <c r="P15" i="9"/>
  <c r="Q12" i="9" l="1"/>
  <c r="Q14" i="9"/>
  <c r="Q15"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<sst xmlns="http://schemas.openxmlformats.org/spreadsheetml/2006/main" count="960" uniqueCount="431">
  <si>
    <t>Filial:</t>
  </si>
  <si>
    <t>Lima - Jesús María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</si>
  <si>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</si>
  <si>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</si>
  <si>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</si>
  <si>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</si>
  <si>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</si>
  <si>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</si>
  <si>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</si>
  <si>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</si>
  <si>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</si>
  <si>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</si>
  <si>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</si>
  <si>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</si>
  <si>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</si>
  <si>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</si>
  <si>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</si>
  <si>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</si>
  <si>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</si>
  <si>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</si>
  <si>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</si>
  <si>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</si>
  <si>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</si>
  <si>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</si>
  <si>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</si>
  <si>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</si>
  <si>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</si>
  <si>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</si>
  <si>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</si>
  <si>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</si>
  <si>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</si>
  <si>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</si>
  <si>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</si>
  <si>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</si>
  <si>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</si>
  <si>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</si>
  <si>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</si>
  <si>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</si>
  <si>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</si>
  <si>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</si>
  <si>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</si>
  <si>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</si>
  <si>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</si>
  <si>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</si>
  <si>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</si>
  <si>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</si>
  <si>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</si>
  <si>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</si>
  <si>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</si>
  <si>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</si>
  <si>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</si>
  <si>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</si>
  <si>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</si>
  <si>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</si>
  <si>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</si>
  <si>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</si>
  <si>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</si>
  <si>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</si>
  <si>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</si>
  <si>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</si>
  <si>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</si>
  <si>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</si>
  <si>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</si>
  <si>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</si>
  <si>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</si>
  <si>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</si>
  <si>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</si>
  <si>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</si>
  <si>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</si>
  <si>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</si>
  <si>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</si>
  <si>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</si>
  <si>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</si>
  <si>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</si>
  <si>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73894007</t>
  </si>
  <si>
    <t>Fiorella Valeria</t>
  </si>
  <si>
    <t>Farfan Rojas</t>
  </si>
  <si>
    <t>fiofarfan31@gmail.com</t>
  </si>
  <si>
    <t>Inscrito Nuevo</t>
  </si>
  <si>
    <t>F</t>
  </si>
  <si>
    <t>P</t>
  </si>
  <si>
    <t>75870099</t>
  </si>
  <si>
    <t>Joaquin Alejandro</t>
  </si>
  <si>
    <t>Gudiel Souza</t>
  </si>
  <si>
    <t>joaquingudiels@gmail.com</t>
  </si>
  <si>
    <t>72329559</t>
  </si>
  <si>
    <t>Mirian Mónica</t>
  </si>
  <si>
    <t>Cuenca Tucta</t>
  </si>
  <si>
    <t>mcuenca.abg@gmail.com</t>
  </si>
  <si>
    <t>40042581</t>
  </si>
  <si>
    <t>Mónica Ponciana</t>
  </si>
  <si>
    <t>Poma Cochachez</t>
  </si>
  <si>
    <t>mpomac@unmsmedu.pe</t>
  </si>
  <si>
    <t>Febrero</t>
  </si>
  <si>
    <t>42983990</t>
  </si>
  <si>
    <t>Cesia Maximiliana</t>
  </si>
  <si>
    <t>Miranda Vega</t>
  </si>
  <si>
    <t>cesi182@hotmail.com</t>
  </si>
  <si>
    <t>45268047</t>
  </si>
  <si>
    <t xml:space="preserve">Jhonatan </t>
  </si>
  <si>
    <t>Moquillaza zurita</t>
  </si>
  <si>
    <t>jonamoquillaza@gmail.com</t>
  </si>
  <si>
    <t>43800093</t>
  </si>
  <si>
    <t xml:space="preserve">Jorge Luis </t>
  </si>
  <si>
    <t>Pozo Raymundo</t>
  </si>
  <si>
    <t>jorgeluispozoraymundo@gmail.com</t>
  </si>
  <si>
    <t>8212864</t>
  </si>
  <si>
    <t>Pablo Hilario</t>
  </si>
  <si>
    <t>Castañeda Flores</t>
  </si>
  <si>
    <t>pablocastafff@hotmail.com</t>
  </si>
  <si>
    <t>43231715</t>
  </si>
  <si>
    <t>Rosa Blanca</t>
  </si>
  <si>
    <t>Huaynate Callupe</t>
  </si>
  <si>
    <t>r'osablanca337@gmail.com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</si>
  <si>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</si>
  <si>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</si>
  <si>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</si>
  <si>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</si>
  <si>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</si>
  <si>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</si>
  <si>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</si>
  <si>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</si>
  <si>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</si>
  <si>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</si>
  <si>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</si>
  <si>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</si>
  <si>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</si>
  <si>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</si>
  <si>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</si>
  <si>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</si>
  <si>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</si>
  <si>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</si>
  <si>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</si>
  <si>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</si>
  <si>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</si>
  <si>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</si>
  <si>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</si>
  <si>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</si>
  <si>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</si>
  <si>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</si>
  <si>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</si>
  <si>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</si>
  <si>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</si>
  <si>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</si>
  <si>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</si>
  <si>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</si>
  <si>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</si>
  <si>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</si>
  <si>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</si>
  <si>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</si>
  <si>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</si>
  <si>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</si>
  <si>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</si>
  <si>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</si>
  <si>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</si>
  <si>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</si>
  <si>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</si>
  <si>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</si>
  <si>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</si>
  <si>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</si>
  <si>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</si>
  <si>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</si>
  <si>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</si>
  <si>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</si>
  <si>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</si>
  <si>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</si>
  <si>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</si>
  <si>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</si>
  <si>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</si>
  <si>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</si>
  <si>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</si>
  <si>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</si>
  <si>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</si>
  <si>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</si>
  <si>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</si>
  <si>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</si>
  <si>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</si>
  <si>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</si>
  <si>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</si>
  <si>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</si>
  <si>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</si>
  <si>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</si>
  <si>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</si>
  <si>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</si>
  <si>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</si>
  <si>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</si>
  <si>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Erick</t>
  </si>
  <si>
    <t>Karina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</si>
  <si>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</si>
  <si>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</si>
  <si>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</si>
  <si>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</si>
  <si>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</si>
  <si>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</si>
  <si>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</si>
  <si>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</si>
  <si>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</si>
  <si>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</si>
  <si>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</si>
  <si>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</si>
  <si>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</si>
  <si>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</si>
  <si>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</si>
  <si>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</si>
  <si>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</si>
  <si>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</si>
  <si>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</si>
  <si>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</si>
  <si>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</si>
  <si>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</si>
  <si>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</si>
  <si>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</si>
  <si>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</si>
  <si>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</si>
  <si>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</si>
  <si>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</si>
  <si>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</si>
  <si>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</si>
  <si>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</si>
  <si>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</si>
  <si>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</si>
  <si>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</si>
  <si>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</si>
  <si>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</si>
  <si>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</si>
  <si>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</si>
  <si>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</si>
  <si>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</si>
  <si>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</si>
  <si>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</si>
  <si>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</si>
  <si>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</si>
  <si>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</si>
  <si>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</si>
  <si>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</si>
  <si>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</si>
  <si>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</si>
  <si>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</si>
  <si>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</si>
  <si>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</si>
  <si>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</si>
  <si>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</si>
  <si>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</si>
  <si>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</si>
  <si>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</si>
  <si>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</si>
  <si>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</si>
  <si>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</si>
  <si>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</si>
  <si>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</si>
  <si>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</si>
  <si>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</si>
  <si>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</si>
  <si>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</si>
  <si>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</si>
  <si>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</si>
  <si>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</si>
  <si>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</si>
  <si>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</si>
  <si>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</si>
  <si>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</si>
  <si>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</si>
  <si>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</si>
  <si>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</si>
  <si>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</si>
  <si>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</si>
  <si>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</si>
  <si>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</si>
  <si>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</si>
  <si>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</si>
  <si>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</si>
  <si>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</si>
  <si>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</si>
  <si>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</si>
  <si>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</si>
  <si>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</si>
  <si>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</si>
  <si>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</si>
  <si>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</si>
  <si>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</si>
  <si>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</si>
  <si>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</si>
  <si>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</si>
  <si>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</si>
  <si>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</si>
  <si>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</si>
  <si>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</si>
  <si>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</si>
  <si>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</si>
  <si>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</si>
  <si>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</si>
  <si>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</si>
  <si>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</si>
  <si>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</si>
  <si>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</si>
  <si>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</si>
  <si>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</si>
  <si>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</si>
  <si>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</si>
  <si>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</si>
  <si>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</si>
  <si>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</si>
  <si>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</si>
  <si>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</si>
  <si>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</si>
  <si>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</si>
  <si>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</si>
  <si>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</si>
  <si>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</si>
  <si>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</si>
  <si>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</si>
  <si>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</si>
  <si>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</si>
  <si>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</si>
  <si>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</si>
  <si>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</si>
  <si>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</si>
  <si>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</si>
  <si>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</si>
  <si>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</si>
  <si>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</si>
  <si>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</si>
  <si>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</si>
  <si>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</si>
  <si>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</si>
  <si>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</si>
  <si>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</si>
  <si>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</si>
  <si>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</si>
  <si>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</si>
  <si>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</si>
  <si>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</si>
  <si>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</si>
  <si>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</si>
  <si>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</si>
  <si>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</si>
  <si>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</si>
  <si>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</si>
  <si>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</si>
  <si>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(en blanco)</t>
  </si>
  <si>
    <t>Jueves Santo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</si>
  <si>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</si>
  <si>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</si>
  <si>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</si>
  <si>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</si>
  <si>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</si>
  <si>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</si>
  <si>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</si>
  <si>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</si>
  <si>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</si>
  <si>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</si>
  <si>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</si>
  <si>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</si>
  <si>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</si>
  <si>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</si>
  <si>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</si>
  <si>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</si>
  <si>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</si>
  <si>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</si>
  <si>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</si>
  <si>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</si>
  <si>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</si>
  <si>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</si>
  <si>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</si>
  <si>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</si>
  <si>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</si>
  <si>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</si>
  <si>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</si>
  <si>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</si>
  <si>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</si>
  <si>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</si>
  <si>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</si>
  <si>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</si>
  <si>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</si>
  <si>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</si>
  <si>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</si>
  <si>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</si>
  <si>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</si>
  <si>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</si>
  <si>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Lima - Jesús María-Enero---45672-Inscrito Nuevo</t>
  </si>
  <si>
    <t>Lima - Jesús María-Enero---45673-Inscrito Nuevo</t>
  </si>
  <si>
    <t>Lima - Jesús María-Enero---45674-Inscrito Nuevo</t>
  </si>
  <si>
    <t>Lima - Jesús María-Enero---45675-Inscrito Nuevo</t>
  </si>
  <si>
    <t>Lima - Jesús María-Febrero---45708-Inscrito Nuevo</t>
  </si>
  <si>
    <t>Lima - Jesús María-Febrero---45709-Inscrito Nuevo</t>
  </si>
  <si>
    <t>Lima - Jesús María-Febrero---45710-Inscrito Nuevo</t>
  </si>
  <si>
    <t>Lima - Jesús María-Febrero---45711-Inscrito Nuevo</t>
  </si>
  <si>
    <t>Lima - Jesús María-Febrero---45712-Inscrito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</si>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</sst>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d/mm/yy"/>
    <numFmt numFmtId="165" formatCode="dd\ mmm"/>
    <numFmt numFmtId="166"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5"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6"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14" fontId="14" fillId="11" borderId="0" xfId="0" applyNumberFormat="1" applyFont="1" applyFill="1" applyAlignment="1">
      <alignment horizontal="center"/>
    </xf>
    <xf numFmtId="0" fontId="21" fillId="0" borderId="10" xfId="0" applyFont="1" applyBorder="1" applyAlignment="1">
      <alignment horizont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D1CBB798-02B7-4E57-832D-F75D492F7FCD}"/>
    <cellStyle name="Porcentaje"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7"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7"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Jesús María.xlsx]Gráficos_!TablaDinámica3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Gráficos_!$BP$104:$BP$114</c:f>
              <c:numCache>
                <c:formatCode>General</c:formatCode>
                <c:ptCount val="10"/>
                <c:pt idx="0">
                  <c:v>0</c:v>
                </c:pt>
                <c:pt idx="1">
                  <c:v>0</c:v>
                </c:pt>
                <c:pt idx="2">
                  <c:v>0</c:v>
                </c:pt>
                <c:pt idx="3">
                  <c:v>1</c:v>
                </c:pt>
                <c:pt idx="4">
                  <c:v>0</c:v>
                </c:pt>
                <c:pt idx="5">
                  <c:v>1</c:v>
                </c:pt>
                <c:pt idx="6">
                  <c:v>1</c:v>
                </c:pt>
                <c:pt idx="7">
                  <c:v>1</c:v>
                </c:pt>
                <c:pt idx="8">
                  <c:v>1</c:v>
                </c:pt>
                <c:pt idx="9">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Gráficos_!$BQ$104:$BQ$114</c:f>
              <c:numCache>
                <c:formatCode>General</c:formatCode>
                <c:ptCount val="10"/>
                <c:pt idx="0">
                  <c:v>0</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Gráficos_!$BR$104:$BR$114</c:f>
              <c:numCache>
                <c:formatCode>General</c:formatCode>
                <c:ptCount val="10"/>
                <c:pt idx="0">
                  <c:v>0</c:v>
                </c:pt>
                <c:pt idx="1">
                  <c:v>1</c:v>
                </c:pt>
                <c:pt idx="2">
                  <c:v>1</c:v>
                </c:pt>
                <c:pt idx="3">
                  <c:v>1</c:v>
                </c:pt>
                <c:pt idx="4">
                  <c:v>0</c:v>
                </c:pt>
                <c:pt idx="5">
                  <c:v>0</c:v>
                </c:pt>
                <c:pt idx="6">
                  <c:v>0</c:v>
                </c:pt>
                <c:pt idx="7">
                  <c:v>0</c:v>
                </c:pt>
                <c:pt idx="8">
                  <c:v>0</c:v>
                </c:pt>
                <c:pt idx="9">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Gráficos_!$BS$104:$BS$114</c:f>
              <c:numCache>
                <c:formatCode>General</c:formatCode>
                <c:ptCount val="10"/>
                <c:pt idx="0">
                  <c:v>0</c:v>
                </c:pt>
                <c:pt idx="1">
                  <c:v>0</c:v>
                </c:pt>
                <c:pt idx="2">
                  <c:v>0</c:v>
                </c:pt>
                <c:pt idx="3">
                  <c:v>1</c:v>
                </c:pt>
                <c:pt idx="4">
                  <c:v>1</c:v>
                </c:pt>
                <c:pt idx="5">
                  <c:v>0</c:v>
                </c:pt>
                <c:pt idx="6">
                  <c:v>0</c:v>
                </c:pt>
                <c:pt idx="7">
                  <c:v>0</c:v>
                </c:pt>
                <c:pt idx="8">
                  <c:v>0</c:v>
                </c:pt>
                <c:pt idx="9">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Gráficos_!$BT$104:$BT$114</c:f>
              <c:numCache>
                <c:formatCode>General</c:formatCode>
                <c:ptCount val="10"/>
                <c:pt idx="0">
                  <c:v>0</c:v>
                </c:pt>
                <c:pt idx="1">
                  <c:v>1</c:v>
                </c:pt>
                <c:pt idx="2">
                  <c:v>0</c:v>
                </c:pt>
                <c:pt idx="3">
                  <c:v>1</c:v>
                </c:pt>
                <c:pt idx="4">
                  <c:v>0</c:v>
                </c:pt>
                <c:pt idx="5">
                  <c:v>0</c:v>
                </c:pt>
                <c:pt idx="6">
                  <c:v>0</c:v>
                </c:pt>
                <c:pt idx="7">
                  <c:v>0</c:v>
                </c:pt>
                <c:pt idx="8">
                  <c:v>0</c:v>
                </c:pt>
                <c:pt idx="9">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Gráficos_!$BU$104:$BU$114</c:f>
              <c:numCache>
                <c:formatCode>General</c:formatCode>
                <c:ptCount val="10"/>
                <c:pt idx="0">
                  <c:v>0</c:v>
                </c:pt>
                <c:pt idx="1">
                  <c:v>1</c:v>
                </c:pt>
                <c:pt idx="2">
                  <c:v>0</c:v>
                </c:pt>
                <c:pt idx="3">
                  <c:v>1</c:v>
                </c:pt>
                <c:pt idx="4">
                  <c:v>1</c:v>
                </c:pt>
                <c:pt idx="5">
                  <c:v>0</c:v>
                </c:pt>
                <c:pt idx="6">
                  <c:v>0</c:v>
                </c:pt>
                <c:pt idx="7">
                  <c:v>0</c:v>
                </c:pt>
                <c:pt idx="8">
                  <c:v>0</c:v>
                </c:pt>
                <c:pt idx="9">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Gráficos_!$BV$104:$BV$114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Gráficos_!$BW$104:$BW$114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Gráficos_!$BX$104:$BX$114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Gráficos_!$BY$104:$BY$114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Gráficos_!$BZ$104:$BZ$114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Gráficos_!$BK$104:$BO$114</c:f>
              <c:multiLvlStrCache>
                <c:ptCount val="10"/>
                <c:lvl/>
                <c:lvl/>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lvl>
                <c:lvl>
                  <c:pt idx="1">
                    <c:v>Enero</c:v>
                  </c:pt>
                  <c:pt idx="2">
                    <c:v>Enero</c:v>
                  </c:pt>
                  <c:pt idx="3">
                    <c:v>Enero</c:v>
                  </c:pt>
                  <c:pt idx="4">
                    <c:v>Enero</c:v>
                  </c:pt>
                  <c:pt idx="5">
                    <c:v>Febrero</c:v>
                  </c:pt>
                  <c:pt idx="6">
                    <c:v>Febrero</c:v>
                  </c:pt>
                  <c:pt idx="7">
                    <c:v>Febrero</c:v>
                  </c:pt>
                  <c:pt idx="8">
                    <c:v>Febrero</c:v>
                  </c:pt>
                  <c:pt idx="9">
                    <c:v>Febrero</c:v>
                  </c:pt>
                </c:lvl>
                <c:lvl>
                  <c:pt idx="1">
                    <c:v>1/15/2025</c:v>
                  </c:pt>
                  <c:pt idx="2">
                    <c:v>1/16/2025</c:v>
                  </c:pt>
                  <c:pt idx="3">
                    <c:v>1/17/2025</c:v>
                  </c:pt>
                  <c:pt idx="4">
                    <c:v>1/18/2025</c:v>
                  </c:pt>
                  <c:pt idx="5">
                    <c:v>2/20/2025</c:v>
                  </c:pt>
                  <c:pt idx="6">
                    <c:v>2/21/2025</c:v>
                  </c:pt>
                  <c:pt idx="7">
                    <c:v>2/22/2025</c:v>
                  </c:pt>
                  <c:pt idx="8">
                    <c:v>2/23/2025</c:v>
                  </c:pt>
                  <c:pt idx="9">
                    <c:v>2/24/2025</c:v>
                  </c:pt>
                </c:lvl>
              </c:multiLvlStrCache>
            </c:multiLvlStrRef>
          </c:cat>
          <c:val>
            <c:numRef>
              <c:f>Gráficos_!$CA$104:$CA$114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Jesús María.xlsx]Gráficos_!TablaDinámica4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Gráficos_!$BB$8:$BF$17</c:f>
              <c:multiLvlStrCache>
                <c:ptCount val="10"/>
                <c:lvl>
                  <c:pt idx="0">
                    <c:v>(en blanco)</c:v>
                  </c:pt>
                  <c:pt idx="1">
                    <c:v>(en blanco)</c:v>
                  </c:pt>
                  <c:pt idx="2">
                    <c:v>(en blanco)</c:v>
                  </c:pt>
                  <c:pt idx="3">
                    <c:v>(en blanco)</c:v>
                  </c:pt>
                  <c:pt idx="4">
                    <c:v>(en blanco)</c:v>
                  </c:pt>
                  <c:pt idx="5">
                    <c:v>(en blanco)</c:v>
                  </c:pt>
                  <c:pt idx="6">
                    <c:v>(en blanco)</c:v>
                  </c:pt>
                  <c:pt idx="7">
                    <c:v>(en blanco)</c:v>
                  </c:pt>
                  <c:pt idx="8">
                    <c:v>(en blanco)</c:v>
                  </c:pt>
                  <c:pt idx="9">
                    <c:v>(en blanco)</c:v>
                  </c:pt>
                </c:lvl>
                <c:lvl>
                  <c:pt idx="0">
                    <c:v>(en blanco)</c:v>
                  </c:pt>
                  <c:pt idx="1">
                    <c:v>(en blanco)</c:v>
                  </c:pt>
                  <c:pt idx="2">
                    <c:v>(en blanco)</c:v>
                  </c:pt>
                  <c:pt idx="3">
                    <c:v>(en blanco)</c:v>
                  </c:pt>
                  <c:pt idx="4">
                    <c:v>(en blanco)</c:v>
                  </c:pt>
                  <c:pt idx="5">
                    <c:v>(en blanco)</c:v>
                  </c:pt>
                  <c:pt idx="6">
                    <c:v>(en blanco)</c:v>
                  </c:pt>
                  <c:pt idx="7">
                    <c:v>(en blanco)</c:v>
                  </c:pt>
                  <c:pt idx="8">
                    <c:v>(en blanco)</c:v>
                  </c:pt>
                  <c:pt idx="9">
                    <c:v>(en blanco)</c:v>
                  </c:pt>
                </c:lvl>
                <c:lvl>
                  <c:pt idx="0">
                    <c:v>Inscrito Nuevo</c:v>
                  </c:pt>
                  <c:pt idx="1">
                    <c:v>Inscrito Nuevo</c:v>
                  </c:pt>
                  <c:pt idx="2">
                    <c:v>Inscrito Nuevo</c:v>
                  </c:pt>
                  <c:pt idx="3">
                    <c:v>Inscrito Nuevo</c:v>
                  </c:pt>
                  <c:pt idx="4">
                    <c:v>Inscrito Nuevo</c:v>
                  </c:pt>
                  <c:pt idx="5">
                    <c:v>Inscrito Nuevo</c:v>
                  </c:pt>
                  <c:pt idx="6">
                    <c:v>Inscrito Nuevo</c:v>
                  </c:pt>
                  <c:pt idx="7">
                    <c:v>Inscrito Nuevo</c:v>
                  </c:pt>
                  <c:pt idx="8">
                    <c:v>Inscrito Nuevo</c:v>
                  </c:pt>
                  <c:pt idx="9">
                    <c:v>(en blanco)</c:v>
                  </c:pt>
                </c:lvl>
                <c:lvl>
                  <c:pt idx="0">
                    <c:v>Conócete a ti mismo</c:v>
                  </c:pt>
                  <c:pt idx="1">
                    <c:v>Conócete a ti mismo</c:v>
                  </c:pt>
                  <c:pt idx="2">
                    <c:v>Conócete a ti mismo</c:v>
                  </c:pt>
                  <c:pt idx="3">
                    <c:v>Conócete a ti mismo</c:v>
                  </c:pt>
                  <c:pt idx="4">
                    <c:v>Conócete a ti mismo</c:v>
                  </c:pt>
                  <c:pt idx="5">
                    <c:v>Conócete a ti mismo</c:v>
                  </c:pt>
                  <c:pt idx="6">
                    <c:v>Conócete a ti mismo</c:v>
                  </c:pt>
                  <c:pt idx="7">
                    <c:v>Conócete a ti mismo</c:v>
                  </c:pt>
                  <c:pt idx="8">
                    <c:v>Conócete a ti mismo</c:v>
                  </c:pt>
                  <c:pt idx="9">
                    <c:v>(en blanco)</c:v>
                  </c:pt>
                </c:lvl>
                <c:lvl>
                  <c:pt idx="0">
                    <c:v>1/15/2025</c:v>
                  </c:pt>
                  <c:pt idx="1">
                    <c:v>1/16/2025</c:v>
                  </c:pt>
                  <c:pt idx="2">
                    <c:v>1/17/2025</c:v>
                  </c:pt>
                  <c:pt idx="3">
                    <c:v>1/18/2025</c:v>
                  </c:pt>
                  <c:pt idx="4">
                    <c:v>2/20/2025</c:v>
                  </c:pt>
                  <c:pt idx="5">
                    <c:v>2/21/2025</c:v>
                  </c:pt>
                  <c:pt idx="6">
                    <c:v>2/22/2025</c:v>
                  </c:pt>
                  <c:pt idx="7">
                    <c:v>2/23/2025</c:v>
                  </c:pt>
                  <c:pt idx="8">
                    <c:v>2/24/2025</c:v>
                  </c:pt>
                  <c:pt idx="9">
                    <c:v>(en blanco)</c:v>
                  </c:pt>
                </c:lvl>
              </c:multiLvlStrCache>
            </c:multiLvlStrRef>
          </c:cat>
          <c:val>
            <c:numRef>
              <c:f>Gráficos_!$BG$8:$BG$17</c:f>
              <c:numCache>
                <c:formatCode>General</c:formatCode>
                <c:ptCount val="10"/>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Jesús María.xlsx]Gráficos_!TablaDinámica34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Gráficos_!$CM$45:$CO$56</c:f>
              <c:multiLvlStrCache>
                <c:ptCount val="11"/>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pt idx="10">
                    <c:v>(en blanco)</c:v>
                  </c:pt>
                </c:lvl>
                <c:lvl>
                  <c:pt idx="1">
                    <c:v>Lima - Jesús María-Enero---45672-Inscrito Nuevo</c:v>
                  </c:pt>
                  <c:pt idx="2">
                    <c:v>Lima - Jesús María-Enero---45673-Inscrito Nuevo</c:v>
                  </c:pt>
                  <c:pt idx="3">
                    <c:v>Lima - Jesús María-Enero---45674-Inscrito Nuevo</c:v>
                  </c:pt>
                  <c:pt idx="4">
                    <c:v>Lima - Jesús María-Enero---45675-Inscrito Nuevo</c:v>
                  </c:pt>
                  <c:pt idx="5">
                    <c:v>Lima - Jesús María-Febrero---45708-Inscrito Nuevo</c:v>
                  </c:pt>
                  <c:pt idx="6">
                    <c:v>Lima - Jesús María-Febrero---45709-Inscrito Nuevo</c:v>
                  </c:pt>
                  <c:pt idx="7">
                    <c:v>Lima - Jesús María-Febrero---45710-Inscrito Nuevo</c:v>
                  </c:pt>
                  <c:pt idx="8">
                    <c:v>Lima - Jesús María-Febrero---45711-Inscrito Nuevo</c:v>
                  </c:pt>
                  <c:pt idx="9">
                    <c:v>Lima - Jesús María-Febrero---45712-Inscrito Nuevo</c:v>
                  </c:pt>
                  <c:pt idx="10">
                    <c:v>(en blanco)</c:v>
                  </c:pt>
                </c:lvl>
                <c:lvl>
                  <c:pt idx="1">
                    <c:v>1/15/2025</c:v>
                  </c:pt>
                  <c:pt idx="2">
                    <c:v>1/16/2025</c:v>
                  </c:pt>
                  <c:pt idx="3">
                    <c:v>1/17/2025</c:v>
                  </c:pt>
                  <c:pt idx="4">
                    <c:v>1/18/2025</c:v>
                  </c:pt>
                  <c:pt idx="5">
                    <c:v>2/20/2025</c:v>
                  </c:pt>
                  <c:pt idx="6">
                    <c:v>2/21/2025</c:v>
                  </c:pt>
                  <c:pt idx="7">
                    <c:v>2/22/2025</c:v>
                  </c:pt>
                  <c:pt idx="8">
                    <c:v>2/23/2025</c:v>
                  </c:pt>
                  <c:pt idx="9">
                    <c:v>2/24/2025</c:v>
                  </c:pt>
                  <c:pt idx="10">
                    <c:v>(en blanco)</c:v>
                  </c:pt>
                </c:lvl>
              </c:multiLvlStrCache>
            </c:multiLvlStrRef>
          </c:cat>
          <c:val>
            <c:numRef>
              <c:f>Gráficos_!$CP$45:$CP$56</c:f>
              <c:numCache>
                <c:formatCode>General</c:formatCode>
                <c:ptCount val="11"/>
                <c:pt idx="0">
                  <c:v>0</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Gráficos_!$CM$45:$CO$56</c:f>
              <c:multiLvlStrCache>
                <c:ptCount val="11"/>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pt idx="10">
                    <c:v>(en blanco)</c:v>
                  </c:pt>
                </c:lvl>
                <c:lvl>
                  <c:pt idx="1">
                    <c:v>Lima - Jesús María-Enero---45672-Inscrito Nuevo</c:v>
                  </c:pt>
                  <c:pt idx="2">
                    <c:v>Lima - Jesús María-Enero---45673-Inscrito Nuevo</c:v>
                  </c:pt>
                  <c:pt idx="3">
                    <c:v>Lima - Jesús María-Enero---45674-Inscrito Nuevo</c:v>
                  </c:pt>
                  <c:pt idx="4">
                    <c:v>Lima - Jesús María-Enero---45675-Inscrito Nuevo</c:v>
                  </c:pt>
                  <c:pt idx="5">
                    <c:v>Lima - Jesús María-Febrero---45708-Inscrito Nuevo</c:v>
                  </c:pt>
                  <c:pt idx="6">
                    <c:v>Lima - Jesús María-Febrero---45709-Inscrito Nuevo</c:v>
                  </c:pt>
                  <c:pt idx="7">
                    <c:v>Lima - Jesús María-Febrero---45710-Inscrito Nuevo</c:v>
                  </c:pt>
                  <c:pt idx="8">
                    <c:v>Lima - Jesús María-Febrero---45711-Inscrito Nuevo</c:v>
                  </c:pt>
                  <c:pt idx="9">
                    <c:v>Lima - Jesús María-Febrero---45712-Inscrito Nuevo</c:v>
                  </c:pt>
                  <c:pt idx="10">
                    <c:v>(en blanco)</c:v>
                  </c:pt>
                </c:lvl>
                <c:lvl>
                  <c:pt idx="1">
                    <c:v>1/15/2025</c:v>
                  </c:pt>
                  <c:pt idx="2">
                    <c:v>1/16/2025</c:v>
                  </c:pt>
                  <c:pt idx="3">
                    <c:v>1/17/2025</c:v>
                  </c:pt>
                  <c:pt idx="4">
                    <c:v>1/18/2025</c:v>
                  </c:pt>
                  <c:pt idx="5">
                    <c:v>2/20/2025</c:v>
                  </c:pt>
                  <c:pt idx="6">
                    <c:v>2/21/2025</c:v>
                  </c:pt>
                  <c:pt idx="7">
                    <c:v>2/22/2025</c:v>
                  </c:pt>
                  <c:pt idx="8">
                    <c:v>2/23/2025</c:v>
                  </c:pt>
                  <c:pt idx="9">
                    <c:v>2/24/2025</c:v>
                  </c:pt>
                  <c:pt idx="10">
                    <c:v>(en blanco)</c:v>
                  </c:pt>
                </c:lvl>
              </c:multiLvlStrCache>
            </c:multiLvlStrRef>
          </c:cat>
          <c:val>
            <c:numRef>
              <c:f>Gráficos_!$CQ$45:$CQ$56</c:f>
              <c:numCache>
                <c:formatCode>General</c:formatCode>
                <c:ptCount val="11"/>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Gráficos_!$CM$45:$CO$56</c:f>
              <c:multiLvlStrCache>
                <c:ptCount val="11"/>
                <c:lvl>
                  <c:pt idx="1">
                    <c:v>Inscrito Nuevo</c:v>
                  </c:pt>
                  <c:pt idx="2">
                    <c:v>Inscrito Nuevo</c:v>
                  </c:pt>
                  <c:pt idx="3">
                    <c:v>Inscrito Nuevo</c:v>
                  </c:pt>
                  <c:pt idx="4">
                    <c:v>Inscrito Nuevo</c:v>
                  </c:pt>
                  <c:pt idx="5">
                    <c:v>Inscrito Nuevo</c:v>
                  </c:pt>
                  <c:pt idx="6">
                    <c:v>Inscrito Nuevo</c:v>
                  </c:pt>
                  <c:pt idx="7">
                    <c:v>Inscrito Nuevo</c:v>
                  </c:pt>
                  <c:pt idx="8">
                    <c:v>Inscrito Nuevo</c:v>
                  </c:pt>
                  <c:pt idx="9">
                    <c:v>Inscrito Nuevo</c:v>
                  </c:pt>
                  <c:pt idx="10">
                    <c:v>(en blanco)</c:v>
                  </c:pt>
                </c:lvl>
                <c:lvl>
                  <c:pt idx="1">
                    <c:v>Lima - Jesús María-Enero---45672-Inscrito Nuevo</c:v>
                  </c:pt>
                  <c:pt idx="2">
                    <c:v>Lima - Jesús María-Enero---45673-Inscrito Nuevo</c:v>
                  </c:pt>
                  <c:pt idx="3">
                    <c:v>Lima - Jesús María-Enero---45674-Inscrito Nuevo</c:v>
                  </c:pt>
                  <c:pt idx="4">
                    <c:v>Lima - Jesús María-Enero---45675-Inscrito Nuevo</c:v>
                  </c:pt>
                  <c:pt idx="5">
                    <c:v>Lima - Jesús María-Febrero---45708-Inscrito Nuevo</c:v>
                  </c:pt>
                  <c:pt idx="6">
                    <c:v>Lima - Jesús María-Febrero---45709-Inscrito Nuevo</c:v>
                  </c:pt>
                  <c:pt idx="7">
                    <c:v>Lima - Jesús María-Febrero---45710-Inscrito Nuevo</c:v>
                  </c:pt>
                  <c:pt idx="8">
                    <c:v>Lima - Jesús María-Febrero---45711-Inscrito Nuevo</c:v>
                  </c:pt>
                  <c:pt idx="9">
                    <c:v>Lima - Jesús María-Febrero---45712-Inscrito Nuevo</c:v>
                  </c:pt>
                  <c:pt idx="10">
                    <c:v>(en blanco)</c:v>
                  </c:pt>
                </c:lvl>
                <c:lvl>
                  <c:pt idx="1">
                    <c:v>1/15/2025</c:v>
                  </c:pt>
                  <c:pt idx="2">
                    <c:v>1/16/2025</c:v>
                  </c:pt>
                  <c:pt idx="3">
                    <c:v>1/17/2025</c:v>
                  </c:pt>
                  <c:pt idx="4">
                    <c:v>1/18/2025</c:v>
                  </c:pt>
                  <c:pt idx="5">
                    <c:v>2/20/2025</c:v>
                  </c:pt>
                  <c:pt idx="6">
                    <c:v>2/21/2025</c:v>
                  </c:pt>
                  <c:pt idx="7">
                    <c:v>2/22/2025</c:v>
                  </c:pt>
                  <c:pt idx="8">
                    <c:v>2/23/2025</c:v>
                  </c:pt>
                  <c:pt idx="9">
                    <c:v>2/24/2025</c:v>
                  </c:pt>
                  <c:pt idx="10">
                    <c:v>(en blanco)</c:v>
                  </c:pt>
                </c:lvl>
              </c:multiLvlStrCache>
            </c:multiLvlStrRef>
          </c:cat>
          <c:val>
            <c:numRef>
              <c:f>Gráficos_!$CR$45:$CR$56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545023148"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1">
        <s v="Lima - Jesús María-Enero---45672-Inscrito Nuevo"/>
        <s v="Lima - Jesús María-Enero---45673-Inscrito Nuevo"/>
        <s v="Lima - Jesús María-Enero---45674-Inscrito Nuevo"/>
        <s v="Lima - Jesús María-Enero---45675-Inscrito Nuevo"/>
        <s v="Lima - Jesús María-Febrero---45708-Inscrito Nuevo"/>
        <s v="Lima - Jesús María-Febrero---45709-Inscrito Nuevo"/>
        <s v="Lima - Jesús María-Febrero---45710-Inscrito Nuevo"/>
        <s v="Lima - Jesús María-Febrero---45711-Inscrito Nuevo"/>
        <s v="Lima - Jesús María-Febrero---45712-Inscrito Nuevo"/>
        <s v=""/>
        <m/>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25T00:00:00" count="25">
        <d v="2025-01-15T00:00:00"/>
        <d v="2025-01-16T00:00:00"/>
        <d v="2025-01-17T00:00:00"/>
        <d v="2025-01-18T00:00:00"/>
        <d v="2025-02-20T00:00:00"/>
        <d v="2025-02-21T00:00:00"/>
        <d v="2025-02-22T00:00:00"/>
        <d v="2025-02-23T00:00:00"/>
        <d v="2025-02-24T00:00:00"/>
        <s v=""/>
        <m/>
        <d v="2025-01-10T00:00:00" u="1"/>
        <d v="2024-01-15T00:00:00" u="1"/>
        <d v="2024-01-16T00:00:00" u="1"/>
        <d v="2024-02-06T00:00:00" u="1"/>
        <d v="2024-04-24T00:00:00" u="1"/>
        <d v="2024-05-21T00:00:00" u="1"/>
        <d v="2024-06-19T00:00:00" u="1"/>
        <d v="2024-07-17T00:00:00" u="1"/>
        <d v="2024-09-16T00:00:00" u="1"/>
        <d v="2024-10-10T00:00:00" u="1"/>
        <d v="2024-11-05T00:00:00" u="1"/>
        <d v="2024-11-06T00:00:00" u="1"/>
        <s v="(blank)" u="1"/>
        <d v="2024-06-18T00:00:00" u="1"/>
      </sharedItems>
    </cacheField>
    <cacheField name="Mes Inscrito" numFmtId="0">
      <sharedItems containsBlank="1" count="22">
        <s v="Enero"/>
        <s v="Febrero"/>
        <s v=""/>
        <m/>
        <s v="Abril" u="1"/>
        <s v="Mayo" u="1"/>
        <s v="Junio" u="1"/>
        <s v="Julio" u="1"/>
        <s v="Setiembre" u="1"/>
        <s v="Octubre" u="1"/>
        <s v="Noviembre" u="1"/>
        <s v="(blank)" u="1"/>
        <s v="septiembre" u="1"/>
        <s v="January"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
    </cacheField>
    <cacheField name="I" numFmtId="0">
      <sharedItems containsNonDate="0" containsString="0" containsBlank="1"/>
    </cacheField>
    <cacheField name="Sem. 01" numFmtId="0">
      <sharedItems containsBlank="1" containsMixedTypes="1" containsNumber="1" containsInteger="1" minValue="0" maxValue="1"/>
    </cacheField>
    <cacheField name="Sem. 02" numFmtId="0">
      <sharedItems containsBlank="1" containsMixedTypes="1" containsNumber="1" containsInteger="1" minValue="1" maxValue="1"/>
    </cacheField>
    <cacheField name="Sem. 03" numFmtId="0">
      <sharedItems containsBlank="1" containsMixedTypes="1" containsNumber="1" containsInteger="1" minValue="0" maxValue="1"/>
    </cacheField>
    <cacheField name="Sem. 04" numFmtId="0">
      <sharedItems containsBlank="1" containsMixedTypes="1" containsNumber="1" containsInteger="1" minValue="0" maxValue="1"/>
    </cacheField>
    <cacheField name="Sem. 05" numFmtId="0">
      <sharedItems containsBlank="1" containsMixedTypes="1" containsNumber="1" containsInteger="1" minValue="0" maxValue="1"/>
    </cacheField>
    <cacheField name="Sem. 06" numFmtId="0">
      <sharedItems containsBlank="1" containsMixedTypes="1" containsNumber="1" containsInteger="1" minValue="0" maxValue="1"/>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545023148"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25T00:00:00" count="22">
        <d v="2025-01-15T00:00:00"/>
        <d v="2025-01-16T00:00:00"/>
        <d v="2025-01-17T00:00:00"/>
        <d v="2025-01-18T00:00:00"/>
        <d v="2025-02-20T00:00:00"/>
        <d v="2025-02-21T00:00:00"/>
        <d v="2025-02-22T00:00:00"/>
        <d v="2025-02-23T00:00:00"/>
        <d v="2025-02-24T00:00:00"/>
        <s v=""/>
        <d v="2025-01-10T00:00:00" u="1"/>
        <d v="2024-01-15T00:00:00" u="1"/>
        <d v="2024-01-16T00:00:00" u="1"/>
        <d v="2024-02-06T00:00:00" u="1"/>
        <d v="2024-04-24T00:00:00" u="1"/>
        <d v="2024-05-21T00:00:00" u="1"/>
        <d v="2024-06-19T00:00:00" u="1"/>
        <d v="2024-07-17T00:00:00" u="1"/>
        <d v="2024-09-16T00:00:00" u="1"/>
        <d v="2024-10-10T00:00:00" u="1"/>
        <d v="2024-11-05T00:00:00" u="1"/>
        <d v="2024-11-06T00:00:00" u="1"/>
      </sharedItems>
    </cacheField>
    <cacheField name="Mes Inscrito" numFmtId="0">
      <sharedItems count="10">
        <s v="Enero"/>
        <s v="Febrero"/>
        <s v=""/>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7">
        <s v=""/>
        <s v="Erick" u="1"/>
        <s v="Rosmery Ruiz Cuarez " u="1"/>
        <s v="Yeni R. Arce Prado" u="1"/>
        <s v="Erick F. Meza Macedo" u="1"/>
        <s v="Daniel J. CHico Vallejo" u="1"/>
        <s v="Angélica del C." u="1"/>
      </sharedItems>
    </cacheField>
    <cacheField name="Soc - FH" numFmtId="0">
      <sharedItems count="7">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
    </cacheField>
    <cacheField name="I" numFmtId="0">
      <sharedItems containsNonDate="0" containsString="0" containsBlank="1"/>
    </cacheField>
    <cacheField name="Sem. 01" numFmtId="0">
      <sharedItems containsMixedTypes="1" containsNumber="1" containsInteger="1" minValue="0" maxValue="1"/>
    </cacheField>
    <cacheField name="Sem. 02" numFmtId="0">
      <sharedItems containsMixedTypes="1" containsNumber="1" containsInteger="1" minValue="1" maxValue="1"/>
    </cacheField>
    <cacheField name="Sem. 03" numFmtId="0">
      <sharedItems containsMixedTypes="1" containsNumber="1" containsInteger="1" minValue="0" maxValue="1"/>
    </cacheField>
    <cacheField name="Sem. 04" numFmtId="0">
      <sharedItems containsMixedTypes="1" containsNumber="1" containsInteger="1" minValue="0" maxValue="1"/>
    </cacheField>
    <cacheField name="Sem. 05" numFmtId="0">
      <sharedItems containsMixedTypes="1" containsNumber="1" containsInteger="1" minValue="0" maxValue="1"/>
    </cacheField>
    <cacheField name="Sem. 06" numFmtId="0">
      <sharedItems containsMixedTypes="1" containsNumber="1" containsInteger="1" minValue="0" maxValue="1"/>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545138887"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NonDate="0" containsBlank="1" count="8">
        <m/>
        <s v="lunes" u="1"/>
        <s v="Lunes - Miércoles" u="1"/>
        <s v="Martes - Jueves" u="1"/>
        <s v="Martes" u="1"/>
        <s v="Jueves" u="1"/>
        <s v="miércoles" u="1"/>
        <s v="sábado" u="1"/>
      </sharedItems>
    </cacheField>
    <cacheField name="Horario Inscrito" numFmtId="49">
      <sharedItems containsNonDate="0" containsBlank="1" count="5">
        <m/>
        <s v="7-9pm" u="1"/>
        <s v="6:30 - 8:30" u="1"/>
        <s v="4:00 - 5:50" u="1"/>
        <s v="7:30 a 9:30 p.m." u="1"/>
      </sharedItems>
    </cacheField>
    <cacheField name="Fecha Inicio grupo" numFmtId="14">
      <sharedItems containsNonDate="0" containsDate="1" containsString="0" containsBlank="1" minDate="2024-01-15T00:00:00" maxDate="2025-02-25T00:00:00" count="22">
        <d v="2025-01-15T00:00:00"/>
        <d v="2025-01-16T00:00:00"/>
        <d v="2025-01-17T00:00:00"/>
        <d v="2025-01-18T00:00:00"/>
        <d v="2025-02-20T00:00:00"/>
        <d v="2025-02-21T00:00:00"/>
        <d v="2025-02-22T00:00:00"/>
        <d v="2025-02-23T00:00:00"/>
        <d v="2025-02-24T00:00:00"/>
        <m/>
        <d v="2025-01-10T00:00:00" u="1"/>
        <d v="2024-01-15T00:00:00" u="1"/>
        <d v="2024-01-16T00:00:00" u="1"/>
        <d v="2024-02-06T00:00:00" u="1"/>
        <d v="2024-04-24T00:00:00" u="1"/>
        <d v="2024-05-21T00:00:00" u="1"/>
        <d v="2024-06-19T00:00:00" u="1"/>
        <d v="2024-07-17T00:00:00" u="1"/>
        <d v="2024-09-16T00:00:00" u="1"/>
        <d v="2024-10-10T00:00:00" u="1"/>
        <d v="2024-11-06T00:00:00" u="1"/>
        <d v="2024-11-05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34031654" maxValue="999781799"/>
    </cacheField>
    <cacheField name="Correo" numFmtId="0">
      <sharedItems containsBlank="1"/>
    </cacheField>
    <cacheField name="Fecha de nac" numFmtId="14">
      <sharedItems containsNonDate="0" containsDate="1" containsString="0" containsBlank="1" minDate="1950-08-28T00:00:00" maxDate="2004-08-06T00:00:00"/>
    </cacheField>
    <cacheField name="Edad" numFmtId="0">
      <sharedItems containsMixedTypes="1" containsNumber="1" containsInteger="1" minValue="20" maxValue="74"/>
    </cacheField>
    <cacheField name="Grupo" numFmtId="0">
      <sharedItems containsNonDate="0" containsString="0"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3-11T00:00:00"/>
    </cacheField>
    <cacheField name="Fecha Finalización" numFmtId="14">
      <sharedItems containsDate="1" containsMixedTypes="1" minDate="2025-04-15T00:00:00" maxDate="2025-05-25T00:00:00"/>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6">
        <s v="Lima - Jesús María-Enero---45672-Inscrito Nuevo"/>
        <s v="Lima - Jesús María-Enero---45673-Inscrito Nuevo"/>
        <s v="Lima - Jesús María-Enero---45674-Inscrito Nuevo"/>
        <s v="Lima - Jesús María-Enero---45675-Inscrito Nuevo"/>
        <s v="Lima - Jesús María-Febrero---45708-Inscrito Nuevo"/>
        <s v="Lima - Jesús María-Febrero---45709-Inscrito Nuevo"/>
        <s v="Lima - Jesús María-Febrero---45710-Inscrito Nuevo"/>
        <s v="Lima - Jesús María-Febrero---45711-Inscrito Nuevo"/>
        <s v="Lima - Jesús María-Febrero---45712-Inscrito Nuevo"/>
        <s v=""/>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5T00:00:00" endDate="2025-02-25T00:00:00"/>
        <groupItems count="368">
          <s v="&lt;1/15/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5/2025"/>
        </groupItems>
      </fieldGroup>
    </cacheField>
    <cacheField name="Meses (Fecha Inicio grupo)" numFmtId="0" databaseField="0">
      <fieldGroup base="4">
        <rangePr groupBy="months" startDate="2025-01-15T00:00:00" endDate="2025-02-25T00:00:00"/>
        <groupItems count="14">
          <s v="&lt;1/15/2025"/>
          <s v="Jan"/>
          <s v="Feb"/>
          <s v="Mar"/>
          <s v="Apr"/>
          <s v="May"/>
          <s v="Jun"/>
          <s v="Jul"/>
          <s v="Aug"/>
          <s v="Sep"/>
          <s v="Oct"/>
          <s v="Nov"/>
          <s v="Dec"/>
          <s v="&gt;2/25/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545370372" createdVersion="8" refreshedVersion="8" minRefreshableVersion="3" recordCount="1096" xr:uid="{18F29DE2-5FC1-40D1-89C9-92588B1B540C}">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NonDate="0" containsString="0" containsBlank="1"/>
    </cacheField>
    <cacheField name="Horario Inscrito" numFmtId="49">
      <sharedItems containsNonDate="0" containsString="0" containsBlank="1" count="1">
        <m/>
      </sharedItems>
    </cacheField>
    <cacheField name="Fecha Inicio grupo" numFmtId="14">
      <sharedItems containsNonDate="0" containsDate="1" containsString="0" containsBlank="1" minDate="2025-01-15T00:00:00" maxDate="2025-02-25T00:00:00" count="10">
        <d v="2025-01-15T00:00:00"/>
        <d v="2025-01-16T00:00:00"/>
        <d v="2025-01-17T00:00:00"/>
        <d v="2025-01-18T00:00:00"/>
        <d v="2025-02-20T00:00:00"/>
        <d v="2025-02-21T00:00:00"/>
        <d v="2025-02-22T00:00:00"/>
        <d v="2025-02-23T00:00:00"/>
        <d v="2025-02-24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34031654" maxValue="999781799"/>
    </cacheField>
    <cacheField name="Correo" numFmtId="0">
      <sharedItems containsBlank="1"/>
    </cacheField>
    <cacheField name="Fecha de nac" numFmtId="14">
      <sharedItems containsNonDate="0" containsDate="1" containsString="0" containsBlank="1" minDate="1950-08-28T00:00:00" maxDate="2004-08-06T00:00:00"/>
    </cacheField>
    <cacheField name="Edad" numFmtId="0">
      <sharedItems containsMixedTypes="1" containsNumber="1" containsInteger="1" minValue="20" maxValue="74"/>
    </cacheField>
    <cacheField name="Grupo" numFmtId="0">
      <sharedItems containsNonDate="0" containsString="0"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9T00:00:00" maxDate="2025-03-11T00:00:00"/>
    </cacheField>
    <cacheField name="Fecha Finalización" numFmtId="14">
      <sharedItems containsDate="1" containsMixedTypes="1" minDate="2025-04-15T00:00:00" maxDate="2025-05-25T00:00:00"/>
    </cacheField>
    <cacheField name="Ética" numFmtId="0">
      <sharedItems containsNonDate="0" containsString="0" containsBlank="1"/>
    </cacheField>
    <cacheField name="Soc - FH"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acheField>
    <cacheField name="Es Alta a 4ta o 8va semana?" numFmtId="14">
      <sharedItems/>
    </cacheField>
    <cacheField name="Fecha Alta como miembro" numFmtId="14">
      <sharedItems/>
    </cacheField>
    <cacheField name="Días (Fecha Inicio grupo)" numFmtId="0" databaseField="0">
      <fieldGroup base="4">
        <rangePr groupBy="days" startDate="2025-01-15T00:00:00" endDate="2025-02-25T00:00:00"/>
        <groupItems count="368">
          <s v="&lt;1/15/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5/2025"/>
        </groupItems>
      </fieldGroup>
    </cacheField>
    <cacheField name="Meses (Fecha Inicio grupo)" numFmtId="0" databaseField="0">
      <fieldGroup base="4">
        <rangePr groupBy="months" startDate="2025-01-15T00:00:00" endDate="2025-02-25T00:00:00"/>
        <groupItems count="14">
          <s v="&lt;1/15/2025"/>
          <s v="Jan"/>
          <s v="Feb"/>
          <s v="Mar"/>
          <s v="Apr"/>
          <s v="May"/>
          <s v="Jun"/>
          <s v="Jul"/>
          <s v="Aug"/>
          <s v="Sep"/>
          <s v="Oct"/>
          <s v="Nov"/>
          <s v="Dec"/>
          <s v="&gt;2/25/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n v="1"/>
    <m/>
    <n v="0"/>
    <n v="1"/>
    <n v="1"/>
    <n v="0"/>
    <n v="1"/>
    <n v="1"/>
    <n v="0"/>
    <n v="0"/>
    <n v="0"/>
    <n v="0"/>
    <n v="0"/>
    <n v="0"/>
    <n v="0"/>
    <n v="0"/>
    <n v="0"/>
    <n v="0"/>
    <n v="0"/>
  </r>
  <r>
    <x v="1"/>
    <x v="0"/>
    <x v="1"/>
    <x v="0"/>
    <x v="0"/>
    <x v="0"/>
    <s v=""/>
    <s v=""/>
    <n v="1"/>
    <m/>
    <n v="0"/>
    <n v="1"/>
    <n v="1"/>
    <n v="0"/>
    <n v="0"/>
    <n v="0"/>
    <n v="0"/>
    <n v="0"/>
    <n v="0"/>
    <n v="0"/>
    <n v="0"/>
    <n v="0"/>
    <n v="0"/>
    <n v="0"/>
    <n v="0"/>
    <n v="0"/>
    <n v="0"/>
  </r>
  <r>
    <x v="2"/>
    <x v="0"/>
    <x v="2"/>
    <x v="0"/>
    <x v="0"/>
    <x v="0"/>
    <s v=""/>
    <s v=""/>
    <n v="1"/>
    <m/>
    <n v="1"/>
    <n v="1"/>
    <n v="1"/>
    <n v="1"/>
    <n v="1"/>
    <n v="1"/>
    <n v="0"/>
    <n v="0"/>
    <n v="0"/>
    <n v="0"/>
    <n v="0"/>
    <n v="0"/>
    <n v="0"/>
    <n v="0"/>
    <n v="0"/>
    <n v="0"/>
    <n v="0"/>
  </r>
  <r>
    <x v="3"/>
    <x v="0"/>
    <x v="3"/>
    <x v="0"/>
    <x v="0"/>
    <x v="0"/>
    <s v=""/>
    <s v=""/>
    <n v="1"/>
    <m/>
    <n v="0"/>
    <n v="1"/>
    <n v="0"/>
    <n v="1"/>
    <n v="0"/>
    <n v="1"/>
    <n v="0"/>
    <n v="0"/>
    <n v="0"/>
    <n v="0"/>
    <n v="0"/>
    <n v="0"/>
    <n v="0"/>
    <n v="0"/>
    <n v="0"/>
    <n v="0"/>
    <n v="0"/>
  </r>
  <r>
    <x v="4"/>
    <x v="0"/>
    <x v="4"/>
    <x v="1"/>
    <x v="0"/>
    <x v="0"/>
    <s v=""/>
    <s v=""/>
    <n v="1"/>
    <m/>
    <n v="1"/>
    <n v="1"/>
    <n v="0"/>
    <n v="0"/>
    <n v="0"/>
    <n v="0"/>
    <n v="0"/>
    <n v="0"/>
    <n v="0"/>
    <n v="0"/>
    <n v="0"/>
    <n v="0"/>
    <n v="0"/>
    <n v="0"/>
    <n v="0"/>
    <n v="0"/>
    <n v="0"/>
  </r>
  <r>
    <x v="5"/>
    <x v="0"/>
    <x v="5"/>
    <x v="1"/>
    <x v="0"/>
    <x v="0"/>
    <s v=""/>
    <s v=""/>
    <n v="1"/>
    <m/>
    <n v="1"/>
    <n v="1"/>
    <n v="0"/>
    <n v="0"/>
    <n v="0"/>
    <n v="0"/>
    <n v="0"/>
    <n v="0"/>
    <n v="0"/>
    <n v="0"/>
    <n v="0"/>
    <n v="0"/>
    <n v="0"/>
    <n v="0"/>
    <n v="0"/>
    <n v="0"/>
    <n v="0"/>
  </r>
  <r>
    <x v="6"/>
    <x v="0"/>
    <x v="6"/>
    <x v="1"/>
    <x v="0"/>
    <x v="0"/>
    <s v=""/>
    <s v=""/>
    <n v="1"/>
    <m/>
    <n v="1"/>
    <n v="1"/>
    <n v="0"/>
    <n v="0"/>
    <n v="0"/>
    <n v="0"/>
    <n v="0"/>
    <n v="0"/>
    <n v="0"/>
    <n v="0"/>
    <n v="0"/>
    <n v="0"/>
    <n v="0"/>
    <n v="0"/>
    <n v="0"/>
    <n v="0"/>
    <n v="0"/>
  </r>
  <r>
    <x v="7"/>
    <x v="0"/>
    <x v="7"/>
    <x v="1"/>
    <x v="0"/>
    <x v="0"/>
    <s v=""/>
    <s v=""/>
    <n v="1"/>
    <m/>
    <n v="1"/>
    <n v="1"/>
    <n v="0"/>
    <n v="0"/>
    <n v="0"/>
    <n v="0"/>
    <n v="0"/>
    <n v="0"/>
    <n v="0"/>
    <n v="0"/>
    <n v="0"/>
    <n v="0"/>
    <n v="0"/>
    <n v="0"/>
    <n v="0"/>
    <n v="0"/>
    <n v="0"/>
  </r>
  <r>
    <x v="8"/>
    <x v="0"/>
    <x v="8"/>
    <x v="1"/>
    <x v="0"/>
    <x v="0"/>
    <s v=""/>
    <s v=""/>
    <n v="1"/>
    <m/>
    <n v="1"/>
    <n v="1"/>
    <n v="0"/>
    <n v="0"/>
    <n v="0"/>
    <n v="0"/>
    <n v="0"/>
    <n v="0"/>
    <n v="0"/>
    <n v="0"/>
    <n v="0"/>
    <n v="0"/>
    <n v="0"/>
    <n v="0"/>
    <n v="0"/>
    <n v="0"/>
    <n v="0"/>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1"/>
    <x v="1"/>
    <s v=""/>
    <s v=""/>
    <s v=""/>
    <m/>
    <s v=""/>
    <s v=""/>
    <s v=""/>
    <s v=""/>
    <s v=""/>
    <s v=""/>
    <s v=""/>
    <s v=""/>
    <s v=""/>
    <s v=""/>
    <s v=""/>
    <s v=""/>
    <s v=""/>
    <s v=""/>
    <s v=""/>
    <s v=""/>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9"/>
    <x v="1"/>
    <x v="9"/>
    <x v="2"/>
    <x v="2"/>
    <x v="1"/>
    <s v=""/>
    <s v=""/>
    <s v=""/>
    <m/>
    <s v=""/>
    <s v=""/>
    <s v=""/>
    <s v=""/>
    <s v=""/>
    <s v=""/>
    <s v=""/>
    <s v=""/>
    <s v=""/>
    <s v=""/>
    <s v=""/>
    <s v=""/>
    <m/>
    <m/>
    <m/>
    <m/>
    <s v=""/>
  </r>
  <r>
    <x v="10"/>
    <x v="2"/>
    <x v="10"/>
    <x v="3"/>
    <x v="2"/>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Lima - Jesús María-Enero---45672-Inscrito Nuevo"/>
    <x v="0"/>
    <x v="0"/>
    <x v="0"/>
    <s v="2025"/>
    <x v="0"/>
    <x v="0"/>
    <x v="0"/>
    <n v="1"/>
    <m/>
    <n v="0"/>
    <n v="1"/>
    <n v="1"/>
    <n v="0"/>
    <n v="1"/>
    <n v="1"/>
    <n v="0"/>
    <n v="0"/>
    <n v="0"/>
    <n v="0"/>
    <n v="0"/>
    <n v="0"/>
    <n v="0"/>
    <n v="0"/>
    <n v="0"/>
    <n v="0"/>
    <n v="0"/>
  </r>
  <r>
    <s v="Lima - Jesús María-Enero---45673-Inscrito Nuevo"/>
    <x v="0"/>
    <x v="1"/>
    <x v="0"/>
    <s v="2025"/>
    <x v="0"/>
    <x v="0"/>
    <x v="0"/>
    <n v="1"/>
    <m/>
    <n v="0"/>
    <n v="1"/>
    <n v="1"/>
    <n v="0"/>
    <n v="0"/>
    <n v="0"/>
    <n v="0"/>
    <n v="0"/>
    <n v="0"/>
    <n v="0"/>
    <n v="0"/>
    <n v="0"/>
    <n v="0"/>
    <n v="0"/>
    <n v="0"/>
    <n v="0"/>
    <n v="0"/>
  </r>
  <r>
    <s v="Lima - Jesús María-Enero---45674-Inscrito Nuevo"/>
    <x v="0"/>
    <x v="2"/>
    <x v="0"/>
    <s v="2025"/>
    <x v="0"/>
    <x v="0"/>
    <x v="0"/>
    <n v="1"/>
    <m/>
    <n v="1"/>
    <n v="1"/>
    <n v="1"/>
    <n v="1"/>
    <n v="1"/>
    <n v="1"/>
    <n v="0"/>
    <n v="0"/>
    <n v="0"/>
    <n v="0"/>
    <n v="0"/>
    <n v="0"/>
    <n v="0"/>
    <n v="0"/>
    <n v="0"/>
    <n v="0"/>
    <n v="0"/>
  </r>
  <r>
    <s v="Lima - Jesús María-Enero---45675-Inscrito Nuevo"/>
    <x v="0"/>
    <x v="3"/>
    <x v="0"/>
    <s v="2025"/>
    <x v="0"/>
    <x v="0"/>
    <x v="0"/>
    <n v="1"/>
    <m/>
    <n v="0"/>
    <n v="1"/>
    <n v="0"/>
    <n v="1"/>
    <n v="0"/>
    <n v="1"/>
    <n v="0"/>
    <n v="0"/>
    <n v="0"/>
    <n v="0"/>
    <n v="0"/>
    <n v="0"/>
    <n v="0"/>
    <n v="0"/>
    <n v="0"/>
    <n v="0"/>
    <n v="0"/>
  </r>
  <r>
    <s v="Lima - Jesús María-Febrero---45708-Inscrito Nuevo"/>
    <x v="0"/>
    <x v="4"/>
    <x v="1"/>
    <s v="2025"/>
    <x v="0"/>
    <x v="0"/>
    <x v="0"/>
    <n v="1"/>
    <m/>
    <n v="1"/>
    <n v="1"/>
    <n v="0"/>
    <n v="0"/>
    <n v="0"/>
    <n v="0"/>
    <n v="0"/>
    <n v="0"/>
    <n v="0"/>
    <n v="0"/>
    <n v="0"/>
    <n v="0"/>
    <n v="0"/>
    <n v="0"/>
    <n v="0"/>
    <n v="0"/>
    <n v="0"/>
  </r>
  <r>
    <s v="Lima - Jesús María-Febrero---45709-Inscrito Nuevo"/>
    <x v="0"/>
    <x v="5"/>
    <x v="1"/>
    <s v="2025"/>
    <x v="0"/>
    <x v="0"/>
    <x v="0"/>
    <n v="1"/>
    <m/>
    <n v="1"/>
    <n v="1"/>
    <n v="0"/>
    <n v="0"/>
    <n v="0"/>
    <n v="0"/>
    <n v="0"/>
    <n v="0"/>
    <n v="0"/>
    <n v="0"/>
    <n v="0"/>
    <n v="0"/>
    <n v="0"/>
    <n v="0"/>
    <n v="0"/>
    <n v="0"/>
    <n v="0"/>
  </r>
  <r>
    <s v="Lima - Jesús María-Febrero---45710-Inscrito Nuevo"/>
    <x v="0"/>
    <x v="6"/>
    <x v="1"/>
    <s v="2025"/>
    <x v="0"/>
    <x v="0"/>
    <x v="0"/>
    <n v="1"/>
    <m/>
    <n v="1"/>
    <n v="1"/>
    <n v="0"/>
    <n v="0"/>
    <n v="0"/>
    <n v="0"/>
    <n v="0"/>
    <n v="0"/>
    <n v="0"/>
    <n v="0"/>
    <n v="0"/>
    <n v="0"/>
    <n v="0"/>
    <n v="0"/>
    <n v="0"/>
    <n v="0"/>
    <n v="0"/>
  </r>
  <r>
    <s v="Lima - Jesús María-Febrero---45711-Inscrito Nuevo"/>
    <x v="0"/>
    <x v="7"/>
    <x v="1"/>
    <s v="2025"/>
    <x v="0"/>
    <x v="0"/>
    <x v="0"/>
    <n v="1"/>
    <m/>
    <n v="1"/>
    <n v="1"/>
    <n v="0"/>
    <n v="0"/>
    <n v="0"/>
    <n v="0"/>
    <n v="0"/>
    <n v="0"/>
    <n v="0"/>
    <n v="0"/>
    <n v="0"/>
    <n v="0"/>
    <n v="0"/>
    <n v="0"/>
    <n v="0"/>
    <n v="0"/>
    <n v="0"/>
  </r>
  <r>
    <s v="Lima - Jesús María-Febrero---45712-Inscrito Nuevo"/>
    <x v="0"/>
    <x v="8"/>
    <x v="1"/>
    <s v="2025"/>
    <x v="0"/>
    <x v="0"/>
    <x v="0"/>
    <n v="1"/>
    <m/>
    <n v="1"/>
    <n v="1"/>
    <n v="0"/>
    <n v="0"/>
    <n v="0"/>
    <n v="0"/>
    <n v="0"/>
    <n v="0"/>
    <n v="0"/>
    <n v="0"/>
    <n v="0"/>
    <n v="0"/>
    <n v="0"/>
    <n v="0"/>
    <n v="0"/>
    <n v="0"/>
    <n v="0"/>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s v=""/>
    <x v="1"/>
    <x v="0"/>
    <x v="0"/>
    <s v=""/>
    <m/>
    <s v=""/>
    <s v=""/>
    <s v=""/>
    <s v=""/>
    <s v=""/>
    <s v=""/>
    <s v=""/>
    <s v=""/>
    <s v=""/>
    <s v=""/>
    <s v=""/>
    <s v=""/>
    <s v=""/>
    <s v=""/>
    <s v=""/>
    <s v=""/>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r>
    <s v=""/>
    <x v="1"/>
    <x v="9"/>
    <x v="2"/>
    <m/>
    <x v="1"/>
    <x v="0"/>
    <x v="0"/>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73894007"/>
    <s v="Fiorella Valeria"/>
    <s v="Farfan Rojas"/>
    <n v="934031654"/>
    <s v="fiofarfan31@gmail.com"/>
    <d v="2002-05-31T00:00:00"/>
    <n v="22"/>
    <m/>
    <x v="0"/>
    <m/>
    <m/>
    <m/>
    <m/>
    <d v="2025-01-29T00:00:00"/>
    <d v="2025-04-15T00:00:00"/>
    <x v="0"/>
    <x v="0"/>
    <s v="F"/>
    <s v="P"/>
    <s v="P"/>
    <s v="F"/>
    <s v="P"/>
    <s v="P"/>
    <m/>
    <m/>
    <m/>
    <m/>
    <m/>
    <m/>
    <m/>
    <m/>
    <m/>
    <m/>
    <m/>
    <s v="Asistió"/>
    <m/>
    <m/>
    <m/>
    <m/>
    <m/>
    <m/>
    <m/>
    <d v="2025-06-30T00:00:00"/>
    <m/>
    <d v="2025-07-31T00:00:00"/>
    <m/>
    <m/>
    <m/>
    <s v="FPP"/>
    <s v="Lima - Jesús María-Enero---45672"/>
    <s v="Conócete a ti mismo"/>
    <x v="0"/>
    <x v="0"/>
  </r>
  <r>
    <x v="0"/>
    <x v="0"/>
    <x v="0"/>
    <x v="0"/>
    <x v="1"/>
    <m/>
    <s v="75870099"/>
    <s v="Joaquin Alejandro"/>
    <s v="Gudiel Souza"/>
    <n v="999449592"/>
    <s v="joaquingudiels@gmail.com"/>
    <d v="2004-08-05T00:00:00"/>
    <n v="20"/>
    <m/>
    <x v="0"/>
    <m/>
    <m/>
    <m/>
    <m/>
    <d v="2025-01-30T00:00:00"/>
    <d v="2025-04-16T00:00:00"/>
    <x v="0"/>
    <x v="0"/>
    <s v="F"/>
    <s v="P"/>
    <s v="P"/>
    <s v="F"/>
    <s v="F"/>
    <s v="F"/>
    <m/>
    <m/>
    <m/>
    <m/>
    <m/>
    <m/>
    <m/>
    <m/>
    <m/>
    <m/>
    <m/>
    <s v="Asistió"/>
    <m/>
    <m/>
    <m/>
    <m/>
    <m/>
    <m/>
    <m/>
    <d v="2025-06-30T00:00:00"/>
    <m/>
    <d v="2025-07-31T00:00:00"/>
    <m/>
    <m/>
    <m/>
    <s v="FPP"/>
    <s v="Lima - Jesús María-Enero---45673"/>
    <s v="Conócete a ti mismo"/>
    <x v="1"/>
    <x v="0"/>
  </r>
  <r>
    <x v="0"/>
    <x v="0"/>
    <x v="0"/>
    <x v="0"/>
    <x v="2"/>
    <m/>
    <s v="72329559"/>
    <s v="Mirian Mónica"/>
    <s v="Cuenca Tucta"/>
    <n v="980876250"/>
    <s v="mcuenca.abg@gmail.com"/>
    <d v="1992-07-28T00:00:00"/>
    <n v="32"/>
    <m/>
    <x v="0"/>
    <m/>
    <m/>
    <m/>
    <m/>
    <d v="2025-01-31T00:00:00"/>
    <d v="2025-04-17T00:00:00"/>
    <x v="0"/>
    <x v="0"/>
    <s v="P"/>
    <s v="P"/>
    <s v="P"/>
    <s v="P"/>
    <s v="P"/>
    <s v="P"/>
    <m/>
    <m/>
    <m/>
    <m/>
    <m/>
    <m/>
    <m/>
    <m/>
    <m/>
    <m/>
    <m/>
    <s v="Asistió"/>
    <m/>
    <m/>
    <m/>
    <m/>
    <m/>
    <m/>
    <m/>
    <d v="2025-06-30T00:00:00"/>
    <m/>
    <d v="2025-07-31T00:00:00"/>
    <m/>
    <m/>
    <m/>
    <s v="PPP"/>
    <s v="Lima - Jesús María-Enero---45674"/>
    <s v="Conócete a ti mismo"/>
    <x v="2"/>
    <x v="0"/>
  </r>
  <r>
    <x v="0"/>
    <x v="0"/>
    <x v="0"/>
    <x v="0"/>
    <x v="3"/>
    <m/>
    <s v="40042581"/>
    <s v="Mónica Ponciana"/>
    <s v="Poma Cochachez"/>
    <n v="980370519"/>
    <s v="mpomac@unmsmedu.pe"/>
    <m/>
    <s v=""/>
    <m/>
    <x v="0"/>
    <m/>
    <m/>
    <m/>
    <m/>
    <d v="2025-02-01T00:00:00"/>
    <d v="2025-04-18T00:00:00"/>
    <x v="0"/>
    <x v="0"/>
    <s v="F"/>
    <s v="P"/>
    <s v="F"/>
    <s v="P"/>
    <s v="F"/>
    <s v="P"/>
    <m/>
    <m/>
    <m/>
    <m/>
    <m/>
    <m/>
    <m/>
    <m/>
    <m/>
    <m/>
    <m/>
    <s v="No Asistió"/>
    <m/>
    <m/>
    <m/>
    <m/>
    <m/>
    <m/>
    <m/>
    <d v="2025-06-30T00:00:00"/>
    <m/>
    <d v="2025-07-31T00:00:00"/>
    <m/>
    <m/>
    <m/>
    <s v="FPF"/>
    <s v="Lima - Jesús María-Enero---45675"/>
    <s v="Conócete a ti mismo"/>
    <x v="3"/>
    <x v="0"/>
  </r>
  <r>
    <x v="0"/>
    <x v="1"/>
    <x v="0"/>
    <x v="0"/>
    <x v="4"/>
    <m/>
    <s v="42983990"/>
    <s v="Cesia Maximiliana"/>
    <s v="Miranda Vega"/>
    <n v="967363633"/>
    <s v="cesi182@hotmail.com"/>
    <d v="1985-03-24T00:00:00"/>
    <n v="39"/>
    <m/>
    <x v="0"/>
    <m/>
    <m/>
    <m/>
    <m/>
    <d v="2025-03-06T00:00:00"/>
    <d v="2025-05-20T00:00:00"/>
    <x v="0"/>
    <x v="0"/>
    <s v="P"/>
    <s v="P"/>
    <m/>
    <m/>
    <m/>
    <m/>
    <m/>
    <m/>
    <m/>
    <m/>
    <m/>
    <m/>
    <m/>
    <m/>
    <m/>
    <m/>
    <m/>
    <s v="Completar hasta 3ra sem. para evaluar a Probacionista"/>
    <m/>
    <m/>
    <m/>
    <m/>
    <m/>
    <m/>
    <m/>
    <d v="2025-07-31T00:00:00"/>
    <m/>
    <d v="2025-08-31T00:00:00"/>
    <m/>
    <m/>
    <m/>
    <s v="PP"/>
    <s v="Lima - Jesús María-Febrero---45708"/>
    <s v="Conócete a ti mismo"/>
    <x v="4"/>
    <x v="0"/>
  </r>
  <r>
    <x v="0"/>
    <x v="1"/>
    <x v="0"/>
    <x v="0"/>
    <x v="5"/>
    <m/>
    <s v="45268047"/>
    <s v="Jhonatan "/>
    <s v="Moquillaza zurita"/>
    <n v="937750991"/>
    <s v="jonamoquillaza@gmail.com"/>
    <d v="1988-08-20T00:00:00"/>
    <n v="36"/>
    <m/>
    <x v="0"/>
    <m/>
    <m/>
    <m/>
    <m/>
    <d v="2025-03-07T00:00:00"/>
    <d v="2025-05-21T00:00:00"/>
    <x v="0"/>
    <x v="0"/>
    <s v="P"/>
    <s v="P"/>
    <m/>
    <m/>
    <m/>
    <m/>
    <m/>
    <m/>
    <m/>
    <m/>
    <m/>
    <m/>
    <m/>
    <m/>
    <m/>
    <m/>
    <m/>
    <s v="Completar hasta 3ra sem. para evaluar a Probacionista"/>
    <m/>
    <m/>
    <m/>
    <m/>
    <m/>
    <m/>
    <m/>
    <d v="2025-07-31T00:00:00"/>
    <m/>
    <d v="2025-08-31T00:00:00"/>
    <m/>
    <m/>
    <m/>
    <s v="PP"/>
    <s v="Lima - Jesús María-Febrero---45709"/>
    <s v="Conócete a ti mismo"/>
    <x v="5"/>
    <x v="0"/>
  </r>
  <r>
    <x v="0"/>
    <x v="1"/>
    <x v="0"/>
    <x v="0"/>
    <x v="6"/>
    <m/>
    <s v="43800093"/>
    <s v="Jorge Luis "/>
    <s v="Pozo Raymundo"/>
    <n v="966390900"/>
    <s v="jorgeluispozoraymundo@gmail.com"/>
    <d v="1986-09-26T00:00:00"/>
    <n v="38"/>
    <m/>
    <x v="0"/>
    <m/>
    <m/>
    <m/>
    <m/>
    <d v="2025-03-08T00:00:00"/>
    <d v="2025-05-22T00:00:00"/>
    <x v="0"/>
    <x v="0"/>
    <s v="P"/>
    <s v="P"/>
    <m/>
    <m/>
    <m/>
    <m/>
    <m/>
    <m/>
    <m/>
    <m/>
    <m/>
    <m/>
    <m/>
    <m/>
    <m/>
    <m/>
    <m/>
    <s v="Completar hasta 3ra sem. para evaluar a Probacionista"/>
    <m/>
    <m/>
    <m/>
    <m/>
    <m/>
    <m/>
    <m/>
    <d v="2025-07-31T00:00:00"/>
    <m/>
    <d v="2025-08-31T00:00:00"/>
    <m/>
    <m/>
    <m/>
    <s v="PP"/>
    <s v="Lima - Jesús María-Febrero---45710"/>
    <s v="Conócete a ti mismo"/>
    <x v="6"/>
    <x v="0"/>
  </r>
  <r>
    <x v="0"/>
    <x v="1"/>
    <x v="0"/>
    <x v="0"/>
    <x v="7"/>
    <m/>
    <s v="8212864"/>
    <s v="Pablo Hilario"/>
    <s v="Castañeda Flores"/>
    <n v="999781799"/>
    <s v="pablocastafff@hotmail.com"/>
    <d v="1950-08-28T00:00:00"/>
    <n v="74"/>
    <m/>
    <x v="0"/>
    <m/>
    <m/>
    <m/>
    <m/>
    <d v="2025-03-09T00:00:00"/>
    <d v="2025-05-23T00:00:00"/>
    <x v="0"/>
    <x v="0"/>
    <s v="P"/>
    <s v="P"/>
    <m/>
    <m/>
    <m/>
    <m/>
    <m/>
    <m/>
    <m/>
    <m/>
    <m/>
    <m/>
    <m/>
    <m/>
    <m/>
    <m/>
    <m/>
    <s v="Completar hasta 3ra sem. para evaluar a Probacionista"/>
    <m/>
    <m/>
    <m/>
    <m/>
    <m/>
    <m/>
    <m/>
    <d v="2025-07-31T00:00:00"/>
    <m/>
    <d v="2025-08-31T00:00:00"/>
    <m/>
    <m/>
    <m/>
    <s v="PP"/>
    <s v="Lima - Jesús María-Febrero---45711"/>
    <s v="Conócete a ti mismo"/>
    <x v="7"/>
    <x v="0"/>
  </r>
  <r>
    <x v="0"/>
    <x v="1"/>
    <x v="0"/>
    <x v="0"/>
    <x v="8"/>
    <m/>
    <s v="43231715"/>
    <s v="Rosa Blanca"/>
    <s v="Huaynate Callupe"/>
    <n v="973958728"/>
    <s v="r'osablanca337@gmail.com"/>
    <d v="1985-09-23T00:00:00"/>
    <n v="39"/>
    <m/>
    <x v="0"/>
    <m/>
    <m/>
    <m/>
    <m/>
    <d v="2025-03-10T00:00:00"/>
    <d v="2025-05-24T00:00:00"/>
    <x v="0"/>
    <x v="0"/>
    <s v="P"/>
    <s v="P"/>
    <m/>
    <m/>
    <m/>
    <m/>
    <m/>
    <m/>
    <m/>
    <m/>
    <m/>
    <m/>
    <m/>
    <m/>
    <m/>
    <m/>
    <m/>
    <s v="Completar hasta 3ra sem. para evaluar a Probacionista"/>
    <m/>
    <m/>
    <m/>
    <m/>
    <m/>
    <m/>
    <m/>
    <d v="2025-07-31T00:00:00"/>
    <m/>
    <d v="2025-08-31T00:00:00"/>
    <m/>
    <m/>
    <m/>
    <s v="PP"/>
    <s v="Lima - Jesús María-Febrero---45712"/>
    <s v="Conócete a ti mismo"/>
    <x v="8"/>
    <x v="0"/>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m/>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r>
    <x v="1"/>
    <x v="2"/>
    <x v="0"/>
    <x v="0"/>
    <x v="9"/>
    <m/>
    <m/>
    <m/>
    <m/>
    <m/>
    <m/>
    <m/>
    <s v=""/>
    <m/>
    <x v="1"/>
    <m/>
    <m/>
    <m/>
    <m/>
    <s v=""/>
    <s v=""/>
    <x v="0"/>
    <x v="0"/>
    <m/>
    <m/>
    <m/>
    <m/>
    <m/>
    <m/>
    <m/>
    <m/>
    <m/>
    <m/>
    <m/>
    <m/>
    <m/>
    <m/>
    <m/>
    <m/>
    <m/>
    <s v=""/>
    <m/>
    <m/>
    <m/>
    <m/>
    <s v=""/>
    <m/>
    <m/>
    <s v=""/>
    <m/>
    <s v=""/>
    <m/>
    <m/>
    <m/>
    <s v=""/>
    <s v=""/>
    <s v=""/>
    <x v="9"/>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m/>
    <x v="0"/>
    <x v="0"/>
    <m/>
    <s v="73894007"/>
    <s v="Fiorella Valeria"/>
    <s v="Farfan Rojas"/>
    <n v="934031654"/>
    <s v="fiofarfan31@gmail.com"/>
    <d v="2002-05-31T00:00:00"/>
    <n v="22"/>
    <m/>
    <s v="Inscrito Nuevo"/>
    <m/>
    <m/>
    <m/>
    <m/>
    <d v="2025-01-29T00:00:00"/>
    <d v="2025-04-15T00:00:00"/>
    <m/>
    <m/>
    <s v="F"/>
    <s v="P"/>
    <s v="P"/>
    <s v="F"/>
    <s v="P"/>
    <s v="P"/>
    <m/>
    <m/>
    <m/>
    <m/>
    <m/>
    <m/>
    <m/>
    <m/>
    <m/>
    <m/>
    <m/>
    <s v="Asistió"/>
    <m/>
    <m/>
    <m/>
    <m/>
    <m/>
    <m/>
    <m/>
    <d v="2025-06-30T00:00:00"/>
    <m/>
    <d v="2025-07-31T00:00:00"/>
    <m/>
    <m/>
    <m/>
    <s v="FPP"/>
    <s v="Lima - Jesús María-Enero---45672"/>
    <s v="Conócete a ti mismo"/>
    <s v="Lima - Jesús María-Enero---45672-Inscrito Nuevo"/>
    <b v="0"/>
    <e v="#N/A"/>
    <s v="ALTA"/>
    <s v="01/01/1900"/>
  </r>
  <r>
    <s v="Conócete a ti mismo"/>
    <s v="Enero"/>
    <m/>
    <x v="0"/>
    <x v="1"/>
    <m/>
    <s v="75870099"/>
    <s v="Joaquin Alejandro"/>
    <s v="Gudiel Souza"/>
    <n v="999449592"/>
    <s v="joaquingudiels@gmail.com"/>
    <d v="2004-08-05T00:00:00"/>
    <n v="20"/>
    <m/>
    <s v="Inscrito Nuevo"/>
    <m/>
    <m/>
    <m/>
    <m/>
    <d v="2025-01-30T00:00:00"/>
    <d v="2025-04-16T00:00:00"/>
    <m/>
    <m/>
    <s v="F"/>
    <s v="P"/>
    <s v="P"/>
    <s v="F"/>
    <s v="F"/>
    <s v="F"/>
    <m/>
    <m/>
    <m/>
    <m/>
    <m/>
    <m/>
    <m/>
    <m/>
    <m/>
    <m/>
    <m/>
    <s v="Asistió"/>
    <m/>
    <m/>
    <m/>
    <m/>
    <m/>
    <m/>
    <m/>
    <d v="2025-06-30T00:00:00"/>
    <m/>
    <d v="2025-07-31T00:00:00"/>
    <m/>
    <m/>
    <m/>
    <s v="FPP"/>
    <s v="Lima - Jesús María-Enero---45673"/>
    <s v="Conócete a ti mismo"/>
    <s v="Lima - Jesús María-Enero---45673-Inscrito Nuevo"/>
    <b v="0"/>
    <e v="#N/A"/>
    <s v="ALTA"/>
    <s v="01/01/1900"/>
  </r>
  <r>
    <s v="Conócete a ti mismo"/>
    <s v="Enero"/>
    <m/>
    <x v="0"/>
    <x v="2"/>
    <m/>
    <s v="72329559"/>
    <s v="Mirian Mónica"/>
    <s v="Cuenca Tucta"/>
    <n v="980876250"/>
    <s v="mcuenca.abg@gmail.com"/>
    <d v="1992-07-28T00:00:00"/>
    <n v="32"/>
    <m/>
    <s v="Inscrito Nuevo"/>
    <m/>
    <m/>
    <m/>
    <m/>
    <d v="2025-01-31T00:00:00"/>
    <d v="2025-04-17T00:00:00"/>
    <m/>
    <m/>
    <s v="P"/>
    <s v="P"/>
    <s v="P"/>
    <s v="P"/>
    <s v="P"/>
    <s v="P"/>
    <m/>
    <m/>
    <m/>
    <m/>
    <m/>
    <m/>
    <m/>
    <m/>
    <m/>
    <m/>
    <m/>
    <s v="Asistió"/>
    <m/>
    <m/>
    <m/>
    <m/>
    <m/>
    <m/>
    <m/>
    <d v="2025-06-30T00:00:00"/>
    <m/>
    <d v="2025-07-31T00:00:00"/>
    <m/>
    <m/>
    <m/>
    <s v="PPP"/>
    <s v="Lima - Jesús María-Enero---45674"/>
    <s v="Conócete a ti mismo"/>
    <s v="Lima - Jesús María-Enero---45674-Inscrito Nuevo"/>
    <b v="0"/>
    <e v="#N/A"/>
    <s v="ALTA"/>
    <s v="01/01/1900"/>
  </r>
  <r>
    <s v="Conócete a ti mismo"/>
    <s v="Enero"/>
    <m/>
    <x v="0"/>
    <x v="3"/>
    <m/>
    <s v="40042581"/>
    <s v="Mónica Ponciana"/>
    <s v="Poma Cochachez"/>
    <n v="980370519"/>
    <s v="mpomac@unmsmedu.pe"/>
    <m/>
    <s v=""/>
    <m/>
    <s v="Inscrito Nuevo"/>
    <m/>
    <m/>
    <m/>
    <m/>
    <d v="2025-02-01T00:00:00"/>
    <d v="2025-04-18T00:00:00"/>
    <m/>
    <m/>
    <s v="F"/>
    <s v="P"/>
    <s v="F"/>
    <s v="P"/>
    <s v="F"/>
    <s v="P"/>
    <m/>
    <m/>
    <m/>
    <m/>
    <m/>
    <m/>
    <m/>
    <m/>
    <m/>
    <m/>
    <m/>
    <s v="No Asistió"/>
    <m/>
    <m/>
    <m/>
    <m/>
    <m/>
    <m/>
    <m/>
    <d v="2025-06-30T00:00:00"/>
    <m/>
    <d v="2025-07-31T00:00:00"/>
    <m/>
    <m/>
    <m/>
    <s v="FPF"/>
    <s v="Lima - Jesús María-Enero---45675"/>
    <s v="Conócete a ti mismo"/>
    <s v="Lima - Jesús María-Enero---45675-Inscrito Nuevo"/>
    <b v="0"/>
    <e v="#N/A"/>
    <s v="ALTA"/>
    <s v="01/01/1900"/>
  </r>
  <r>
    <s v="Conócete a ti mismo"/>
    <s v="Febrero"/>
    <m/>
    <x v="0"/>
    <x v="4"/>
    <m/>
    <s v="42983990"/>
    <s v="Cesia Maximiliana"/>
    <s v="Miranda Vega"/>
    <n v="967363633"/>
    <s v="cesi182@hotmail.com"/>
    <d v="1985-03-24T00:00:00"/>
    <n v="39"/>
    <m/>
    <s v="Inscrito Nuevo"/>
    <m/>
    <m/>
    <m/>
    <m/>
    <d v="2025-03-06T00:00:00"/>
    <d v="2025-05-20T00:00:00"/>
    <m/>
    <m/>
    <s v="P"/>
    <s v="P"/>
    <m/>
    <m/>
    <m/>
    <m/>
    <m/>
    <m/>
    <m/>
    <m/>
    <m/>
    <m/>
    <m/>
    <m/>
    <m/>
    <m/>
    <m/>
    <s v="Completar hasta 3ra sem. para evaluar a Probacionista"/>
    <m/>
    <m/>
    <m/>
    <m/>
    <m/>
    <m/>
    <m/>
    <d v="2025-07-31T00:00:00"/>
    <m/>
    <d v="2025-08-31T00:00:00"/>
    <m/>
    <m/>
    <m/>
    <s v="PP"/>
    <s v="Lima - Jesús María-Febrero---45708"/>
    <s v="Conócete a ti mismo"/>
    <s v="Lima - Jesús María-Febrero---45708-Inscrito Nuevo"/>
    <b v="0"/>
    <e v="#N/A"/>
    <s v="ALTA"/>
    <s v="01/01/1900"/>
  </r>
  <r>
    <s v="Conócete a ti mismo"/>
    <s v="Febrero"/>
    <m/>
    <x v="0"/>
    <x v="5"/>
    <m/>
    <s v="45268047"/>
    <s v="Jhonatan "/>
    <s v="Moquillaza zurita"/>
    <n v="937750991"/>
    <s v="jonamoquillaza@gmail.com"/>
    <d v="1988-08-20T00:00:00"/>
    <n v="36"/>
    <m/>
    <s v="Inscrito Nuevo"/>
    <m/>
    <m/>
    <m/>
    <m/>
    <d v="2025-03-07T00:00:00"/>
    <d v="2025-05-21T00:00:00"/>
    <m/>
    <m/>
    <s v="P"/>
    <s v="P"/>
    <m/>
    <m/>
    <m/>
    <m/>
    <m/>
    <m/>
    <m/>
    <m/>
    <m/>
    <m/>
    <m/>
    <m/>
    <m/>
    <m/>
    <m/>
    <s v="Completar hasta 3ra sem. para evaluar a Probacionista"/>
    <m/>
    <m/>
    <m/>
    <m/>
    <m/>
    <m/>
    <m/>
    <d v="2025-07-31T00:00:00"/>
    <m/>
    <d v="2025-08-31T00:00:00"/>
    <m/>
    <m/>
    <m/>
    <s v="PP"/>
    <s v="Lima - Jesús María-Febrero---45709"/>
    <s v="Conócete a ti mismo"/>
    <s v="Lima - Jesús María-Febrero---45709-Inscrito Nuevo"/>
    <b v="0"/>
    <e v="#N/A"/>
    <s v="ALTA"/>
    <s v="01/01/1900"/>
  </r>
  <r>
    <s v="Conócete a ti mismo"/>
    <s v="Febrero"/>
    <m/>
    <x v="0"/>
    <x v="6"/>
    <m/>
    <s v="43800093"/>
    <s v="Jorge Luis "/>
    <s v="Pozo Raymundo"/>
    <n v="966390900"/>
    <s v="jorgeluispozoraymundo@gmail.com"/>
    <d v="1986-09-26T00:00:00"/>
    <n v="38"/>
    <m/>
    <s v="Inscrito Nuevo"/>
    <m/>
    <m/>
    <m/>
    <m/>
    <d v="2025-03-08T00:00:00"/>
    <d v="2025-05-22T00:00:00"/>
    <m/>
    <m/>
    <s v="P"/>
    <s v="P"/>
    <m/>
    <m/>
    <m/>
    <m/>
    <m/>
    <m/>
    <m/>
    <m/>
    <m/>
    <m/>
    <m/>
    <m/>
    <m/>
    <m/>
    <m/>
    <s v="Completar hasta 3ra sem. para evaluar a Probacionista"/>
    <m/>
    <m/>
    <m/>
    <m/>
    <m/>
    <m/>
    <m/>
    <d v="2025-07-31T00:00:00"/>
    <m/>
    <d v="2025-08-31T00:00:00"/>
    <m/>
    <m/>
    <m/>
    <s v="PP"/>
    <s v="Lima - Jesús María-Febrero---45710"/>
    <s v="Conócete a ti mismo"/>
    <s v="Lima - Jesús María-Febrero---45710-Inscrito Nuevo"/>
    <b v="0"/>
    <e v="#N/A"/>
    <s v="ALTA"/>
    <s v="01/01/1900"/>
  </r>
  <r>
    <s v="Conócete a ti mismo"/>
    <s v="Febrero"/>
    <m/>
    <x v="0"/>
    <x v="7"/>
    <m/>
    <s v="8212864"/>
    <s v="Pablo Hilario"/>
    <s v="Castañeda Flores"/>
    <n v="999781799"/>
    <s v="pablocastafff@hotmail.com"/>
    <d v="1950-08-28T00:00:00"/>
    <n v="74"/>
    <m/>
    <s v="Inscrito Nuevo"/>
    <m/>
    <m/>
    <m/>
    <m/>
    <d v="2025-03-09T00:00:00"/>
    <d v="2025-05-23T00:00:00"/>
    <m/>
    <m/>
    <s v="P"/>
    <s v="P"/>
    <m/>
    <m/>
    <m/>
    <m/>
    <m/>
    <m/>
    <m/>
    <m/>
    <m/>
    <m/>
    <m/>
    <m/>
    <m/>
    <m/>
    <m/>
    <s v="Completar hasta 3ra sem. para evaluar a Probacionista"/>
    <m/>
    <m/>
    <m/>
    <m/>
    <m/>
    <m/>
    <m/>
    <d v="2025-07-31T00:00:00"/>
    <m/>
    <d v="2025-08-31T00:00:00"/>
    <m/>
    <m/>
    <m/>
    <s v="PP"/>
    <s v="Lima - Jesús María-Febrero---45711"/>
    <s v="Conócete a ti mismo"/>
    <s v="Lima - Jesús María-Febrero---45711-Inscrito Nuevo"/>
    <b v="0"/>
    <e v="#N/A"/>
    <s v="ALTA"/>
    <s v="01/01/1900"/>
  </r>
  <r>
    <s v="Conócete a ti mismo"/>
    <s v="Febrero"/>
    <m/>
    <x v="0"/>
    <x v="8"/>
    <m/>
    <s v="43231715"/>
    <s v="Rosa Blanca"/>
    <s v="Huaynate Callupe"/>
    <n v="973958728"/>
    <s v="r'osablanca337@gmail.com"/>
    <d v="1985-09-23T00:00:00"/>
    <n v="39"/>
    <m/>
    <s v="Inscrito Nuevo"/>
    <m/>
    <m/>
    <m/>
    <m/>
    <d v="2025-03-10T00:00:00"/>
    <d v="2025-05-24T00:00:00"/>
    <m/>
    <m/>
    <s v="P"/>
    <s v="P"/>
    <m/>
    <m/>
    <m/>
    <m/>
    <m/>
    <m/>
    <m/>
    <m/>
    <m/>
    <m/>
    <m/>
    <m/>
    <m/>
    <m/>
    <m/>
    <s v="Completar hasta 3ra sem. para evaluar a Probacionista"/>
    <m/>
    <m/>
    <m/>
    <m/>
    <m/>
    <m/>
    <m/>
    <d v="2025-07-31T00:00:00"/>
    <m/>
    <d v="2025-08-31T00:00:00"/>
    <m/>
    <m/>
    <m/>
    <s v="PP"/>
    <s v="Lima - Jesús María-Febrero---45712"/>
    <s v="Conócete a ti mismo"/>
    <s v="Lima - Jesús María-Febrero---45712-Inscrito Nuevo"/>
    <b v="0"/>
    <e v="#N/A"/>
    <s v="ALTA"/>
    <s v="01/01/1900"/>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m/>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r>
    <m/>
    <m/>
    <m/>
    <x v="0"/>
    <x v="9"/>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55EDF8-FED1-4467-B95F-09A22BAB25DE}" name="TablaDinámica3" cacheId="786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5"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2">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10">
        <item x="0"/>
        <item x="1"/>
        <item x="2"/>
        <item x="3"/>
        <item x="4"/>
        <item x="5"/>
        <item x="6"/>
        <item x="7"/>
        <item x="8"/>
        <item x="9"/>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10">
    <i>
      <x/>
      <x/>
    </i>
    <i>
      <x v="1"/>
      <x/>
    </i>
    <i>
      <x v="2"/>
      <x/>
    </i>
    <i>
      <x v="3"/>
      <x/>
    </i>
    <i>
      <x v="4"/>
      <x/>
    </i>
    <i>
      <x v="5"/>
      <x/>
    </i>
    <i>
      <x v="6"/>
      <x/>
    </i>
    <i>
      <x v="7"/>
      <x/>
    </i>
    <i>
      <x v="8"/>
      <x/>
    </i>
    <i>
      <x v="9"/>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9"/>
          </reference>
        </references>
      </pivotArea>
    </format>
    <format dxfId="98">
      <pivotArea dataOnly="0" labelOnly="1" outline="0" fieldPosition="0">
        <references count="2">
          <reference field="3" count="1">
            <x v="0"/>
          </reference>
          <reference field="4" count="1" selected="0">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7846"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4"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22">
        <item x="9"/>
        <item m="1" x="11"/>
        <item m="1" x="12"/>
        <item m="1" x="13"/>
        <item m="1" x="14"/>
        <item m="1" x="15"/>
        <item m="1" x="16"/>
        <item m="1" x="17"/>
        <item m="1" x="18"/>
        <item m="1" x="19"/>
        <item m="1" x="20"/>
        <item m="1" x="21"/>
        <item m="1" x="10"/>
        <item x="0"/>
        <item x="1"/>
        <item x="2"/>
        <item x="3"/>
        <item x="4"/>
        <item x="5"/>
        <item x="6"/>
        <item x="7"/>
        <item x="8"/>
      </items>
      <extLst>
        <ext xmlns:x14="http://schemas.microsoft.com/office/spreadsheetml/2009/9/main" uri="{2946ED86-A175-432a-8AC1-64E0C546D7DE}">
          <x14:pivotField fillDownLabels="1"/>
        </ext>
      </extLst>
    </pivotField>
    <pivotField axis="axisRow" compact="0" outline="0" showAll="0" defaultSubtotal="0">
      <items count="10">
        <item x="2"/>
        <item x="1"/>
        <item x="0"/>
        <item m="1" x="3"/>
        <item m="1" x="4"/>
        <item m="1" x="5"/>
        <item m="1" x="6"/>
        <item m="1" x="7"/>
        <item m="1" x="8"/>
        <item m="1" x="9"/>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items count="8">
        <item x="0"/>
        <item m="1" x="2"/>
        <item m="1" x="3"/>
        <item m="1" x="4"/>
        <item m="1" x="5"/>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11">
    <i>
      <x/>
      <x/>
      <x/>
      <x/>
      <x/>
    </i>
    <i>
      <x v="13"/>
      <x v="2"/>
      <x v="1"/>
      <x/>
      <x/>
    </i>
    <i>
      <x v="14"/>
      <x v="2"/>
      <x v="1"/>
      <x/>
      <x/>
    </i>
    <i>
      <x v="15"/>
      <x v="2"/>
      <x v="1"/>
      <x/>
      <x/>
    </i>
    <i>
      <x v="16"/>
      <x v="2"/>
      <x v="1"/>
      <x/>
      <x/>
    </i>
    <i>
      <x v="17"/>
      <x v="1"/>
      <x v="1"/>
      <x/>
      <x/>
    </i>
    <i>
      <x v="18"/>
      <x v="1"/>
      <x v="1"/>
      <x/>
      <x/>
    </i>
    <i>
      <x v="19"/>
      <x v="1"/>
      <x v="1"/>
      <x/>
      <x/>
    </i>
    <i>
      <x v="20"/>
      <x v="1"/>
      <x v="1"/>
      <x/>
      <x/>
    </i>
    <i>
      <x v="21"/>
      <x v="1"/>
      <x v="1"/>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785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5"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22">
        <item m="1" x="11"/>
        <item m="1" x="12"/>
        <item m="1" x="13"/>
        <item m="1" x="14"/>
        <item m="1" x="15"/>
        <item m="1" x="16"/>
        <item m="1" x="17"/>
        <item m="1" x="18"/>
        <item m="1" x="19"/>
        <item m="1" x="21"/>
        <item m="1" x="20"/>
        <item m="1" x="10"/>
        <item x="0"/>
        <item x="1"/>
        <item x="2"/>
        <item x="3"/>
        <item x="4"/>
        <item x="5"/>
        <item x="6"/>
        <item x="7"/>
        <item x="8"/>
        <item x="9"/>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6">
        <item x="9"/>
        <item m="1" x="11"/>
        <item m="1" x="12"/>
        <item m="1" x="13"/>
        <item m="1" x="14"/>
        <item m="1" x="15"/>
        <item m="1" x="16"/>
        <item m="1" x="17"/>
        <item m="1" x="18"/>
        <item m="1" x="19"/>
        <item m="1" x="20"/>
        <item m="1" x="21"/>
        <item m="1" x="22"/>
        <item m="1" x="23"/>
        <item m="1" x="25"/>
        <item m="1" x="24"/>
        <item m="1" x="10"/>
        <item x="0"/>
        <item x="1"/>
        <item x="2"/>
        <item x="3"/>
        <item x="4"/>
        <item x="5"/>
        <item x="6"/>
        <item x="7"/>
        <item x="8"/>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9">
    <i>
      <x v="12"/>
      <x v="17"/>
      <x v="2"/>
      <x/>
      <x/>
      <x/>
    </i>
    <i>
      <x v="13"/>
      <x v="18"/>
      <x v="2"/>
      <x/>
      <x/>
      <x/>
    </i>
    <i>
      <x v="14"/>
      <x v="19"/>
      <x v="2"/>
      <x/>
      <x/>
      <x/>
    </i>
    <i>
      <x v="15"/>
      <x v="20"/>
      <x v="2"/>
      <x/>
      <x/>
      <x/>
    </i>
    <i>
      <x v="16"/>
      <x v="21"/>
      <x v="2"/>
      <x/>
      <x/>
      <x/>
    </i>
    <i>
      <x v="17"/>
      <x v="22"/>
      <x v="2"/>
      <x/>
      <x/>
      <x/>
    </i>
    <i>
      <x v="18"/>
      <x v="23"/>
      <x v="2"/>
      <x/>
      <x/>
      <x/>
    </i>
    <i>
      <x v="19"/>
      <x v="24"/>
      <x v="2"/>
      <x/>
      <x/>
      <x/>
    </i>
    <i>
      <x v="20"/>
      <x v="25"/>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7837"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6" firstHeaderRow="0" firstDataRow="1" firstDataCol="3"/>
  <pivotFields count="28">
    <pivotField name="Grupo" axis="axisRow" compact="0" outline="0" showAll="0" defaultSubtotal="0">
      <items count="41">
        <item x="9"/>
        <item m="1" x="26"/>
        <item m="1" x="27"/>
        <item m="1" x="28"/>
        <item m="1" x="29"/>
        <item m="1" x="30"/>
        <item m="1" x="36"/>
        <item m="1" x="31"/>
        <item m="1" x="32"/>
        <item m="1" x="37"/>
        <item m="1" x="38"/>
        <item m="1" x="39"/>
        <item m="1" x="40"/>
        <item x="10"/>
        <item m="1" x="33"/>
        <item m="1" x="34"/>
        <item m="1" x="35"/>
        <item m="1" x="12"/>
        <item m="1" x="13"/>
        <item m="1" x="14"/>
        <item m="1" x="15"/>
        <item m="1" x="16"/>
        <item m="1" x="17"/>
        <item m="1" x="18"/>
        <item m="1" x="19"/>
        <item m="1" x="20"/>
        <item m="1" x="23"/>
        <item m="1" x="21"/>
        <item m="1" x="22"/>
        <item m="1" x="24"/>
        <item m="1" x="25"/>
        <item m="1" x="11"/>
        <item x="0"/>
        <item x="1"/>
        <item x="2"/>
        <item x="3"/>
        <item x="4"/>
        <item x="5"/>
        <item x="6"/>
        <item x="7"/>
        <item x="8"/>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5">
        <item x="9"/>
        <item m="1" x="23"/>
        <item m="1" x="12"/>
        <item m="1" x="13"/>
        <item m="1" x="14"/>
        <item m="1" x="15"/>
        <item m="1" x="16"/>
        <item m="1" x="24"/>
        <item m="1" x="17"/>
        <item m="1" x="18"/>
        <item m="1" x="19"/>
        <item m="1" x="20"/>
        <item m="1" x="21"/>
        <item m="1" x="22"/>
        <item m="1" x="11"/>
        <item x="0"/>
        <item x="1"/>
        <item x="2"/>
        <item x="3"/>
        <item x="4"/>
        <item x="5"/>
        <item x="6"/>
        <item x="7"/>
        <item x="8"/>
        <item x="10"/>
      </items>
      <extLst>
        <ext xmlns:x14="http://schemas.microsoft.com/office/spreadsheetml/2009/9/main" uri="{2946ED86-A175-432a-8AC1-64E0C546D7DE}">
          <x14:pivotField fillDownLabels="1"/>
        </ext>
      </extLst>
    </pivotField>
    <pivotField compact="0" outline="0" showAll="0">
      <items count="23">
        <item m="1" x="13"/>
        <item m="1" x="14"/>
        <item m="1" x="15"/>
        <item m="1" x="16"/>
        <item m="1" x="17"/>
        <item m="1" x="18"/>
        <item m="1" x="19"/>
        <item m="1" x="20"/>
        <item m="1" x="21"/>
        <item x="2"/>
        <item m="1" x="11"/>
        <item m="1" x="4"/>
        <item x="0"/>
        <item x="1"/>
        <item m="1" x="7"/>
        <item m="1" x="6"/>
        <item m="1" x="5"/>
        <item m="1" x="10"/>
        <item m="1" x="9"/>
        <item m="1" x="12"/>
        <item m="1" x="8"/>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12">
    <i>
      <x/>
      <x/>
      <x/>
    </i>
    <i>
      <x v="15"/>
      <x v="32"/>
      <x v="1"/>
    </i>
    <i>
      <x v="16"/>
      <x v="33"/>
      <x v="1"/>
    </i>
    <i>
      <x v="17"/>
      <x v="34"/>
      <x v="1"/>
    </i>
    <i>
      <x v="18"/>
      <x v="35"/>
      <x v="1"/>
    </i>
    <i>
      <x v="19"/>
      <x v="36"/>
      <x v="1"/>
    </i>
    <i>
      <x v="20"/>
      <x v="37"/>
      <x v="1"/>
    </i>
    <i>
      <x v="21"/>
      <x v="38"/>
      <x v="1"/>
    </i>
    <i>
      <x v="22"/>
      <x v="39"/>
      <x v="1"/>
    </i>
    <i>
      <x v="23"/>
      <x v="40"/>
      <x v="1"/>
    </i>
    <i>
      <x v="24"/>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7859"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7"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5"/>
        <item m="1" x="1"/>
        <item m="1" x="2"/>
        <item m="1" x="4"/>
        <item m="1" x="3"/>
        <item m="1" x="6"/>
        <item m="1" x="7"/>
        <item x="0"/>
        <item t="default"/>
      </items>
      <extLst>
        <ext xmlns:x14="http://schemas.microsoft.com/office/spreadsheetml/2009/9/main" uri="{2946ED86-A175-432a-8AC1-64E0C546D7DE}">
          <x14:pivotField fillDownLabels="1"/>
        </ext>
      </extLst>
    </pivotField>
    <pivotField compact="0" outline="0" showAll="0">
      <items count="6">
        <item m="1" x="3"/>
        <item m="1" x="2"/>
        <item m="1" x="4"/>
        <item m="1" x="1"/>
        <item x="0"/>
        <item t="default"/>
      </items>
      <extLst>
        <ext xmlns:x14="http://schemas.microsoft.com/office/spreadsheetml/2009/9/main" uri="{2946ED86-A175-432a-8AC1-64E0C546D7DE}">
          <x14:pivotField fillDownLabels="1"/>
        </ext>
      </extLst>
    </pivotField>
    <pivotField axis="axisRow" compact="0" outline="0" showAll="0" sortType="ascending" defaultSubtotal="0">
      <items count="22">
        <item m="1" x="11"/>
        <item m="1" x="12"/>
        <item m="1" x="13"/>
        <item m="1" x="14"/>
        <item m="1" x="15"/>
        <item m="1" x="16"/>
        <item m="1" x="17"/>
        <item m="1" x="18"/>
        <item m="1" x="19"/>
        <item m="1" x="21"/>
        <item m="1" x="20"/>
        <item m="1" x="10"/>
        <item x="0"/>
        <item x="1"/>
        <item x="2"/>
        <item x="3"/>
        <item x="4"/>
        <item x="5"/>
        <item x="6"/>
        <item x="7"/>
        <item x="8"/>
        <item x="9"/>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10">
    <i>
      <x v="12"/>
      <x v="1"/>
      <x/>
      <x v="4"/>
      <x v="4"/>
    </i>
    <i>
      <x v="13"/>
      <x v="1"/>
      <x/>
      <x v="4"/>
      <x v="4"/>
    </i>
    <i>
      <x v="14"/>
      <x v="1"/>
      <x/>
      <x v="4"/>
      <x v="4"/>
    </i>
    <i>
      <x v="15"/>
      <x v="1"/>
      <x/>
      <x v="4"/>
      <x v="4"/>
    </i>
    <i>
      <x v="16"/>
      <x v="1"/>
      <x/>
      <x v="4"/>
      <x v="4"/>
    </i>
    <i>
      <x v="17"/>
      <x v="1"/>
      <x/>
      <x v="4"/>
      <x v="4"/>
    </i>
    <i>
      <x v="18"/>
      <x v="1"/>
      <x/>
      <x v="4"/>
      <x v="4"/>
    </i>
    <i>
      <x v="19"/>
      <x v="1"/>
      <x/>
      <x v="4"/>
      <x v="4"/>
    </i>
    <i>
      <x v="20"/>
      <x v="1"/>
      <x/>
      <x v="4"/>
      <x v="4"/>
    </i>
    <i>
      <x v="21"/>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22">
        <i x="9" s="1"/>
        <i x="0" s="1"/>
        <i x="1" s="1"/>
        <i x="2" s="1"/>
        <i x="3" s="1"/>
        <i x="4" s="1"/>
        <i x="5" s="1"/>
        <i x="6" s="1"/>
        <i x="7" s="1"/>
        <i x="8" s="1"/>
        <i x="11" s="1" nd="1"/>
        <i x="12" s="1" nd="1"/>
        <i x="13" s="1" nd="1"/>
        <i x="14" s="1" nd="1"/>
        <i x="15" s="1" nd="1"/>
        <i x="16" s="1" nd="1"/>
        <i x="17" s="1" nd="1"/>
        <i x="18" s="1" nd="1"/>
        <i x="19" s="1" nd="1"/>
        <i x="20" s="1" nd="1"/>
        <i x="21" s="1" nd="1"/>
        <i x="1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0">
        <i x="2" s="1"/>
        <i x="0" s="1"/>
        <i x="1" s="1"/>
        <i x="3" s="1" nd="1"/>
        <i x="6" s="1" nd="1"/>
        <i x="5" s="1" nd="1"/>
        <i x="4" s="1" nd="1"/>
        <i x="9" s="1" nd="1"/>
        <i x="8" s="1" nd="1"/>
        <i x="7"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5" s="1" nd="1"/>
        <i x="1" s="1" nd="1"/>
        <i x="2" s="1" nd="1"/>
        <i x="4" s="1" nd="1"/>
        <i x="3" s="1" nd="1"/>
        <i x="6" s="1" nd="1"/>
        <i x="7"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5">
        <i x="0" s="1"/>
        <i x="3" s="1" nd="1"/>
        <i x="2" s="1" nd="1"/>
        <i x="4"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22">
        <i x="0" s="1"/>
        <i x="1" s="1"/>
        <i x="2" s="1"/>
        <i x="3" s="1"/>
        <i x="4" s="1"/>
        <i x="5" s="1"/>
        <i x="6" s="1"/>
        <i x="7" s="1"/>
        <i x="8" s="1"/>
        <i x="11" s="1" nd="1"/>
        <i x="12" s="1" nd="1"/>
        <i x="13" s="1" nd="1"/>
        <i x="14" s="1" nd="1"/>
        <i x="15" s="1" nd="1"/>
        <i x="16" s="1" nd="1"/>
        <i x="17" s="1" nd="1"/>
        <i x="18" s="1" nd="1"/>
        <i x="19" s="1" nd="1"/>
        <i x="21" s="1" nd="1"/>
        <i x="20" s="1" nd="1"/>
        <i x="10" s="1" nd="1"/>
        <i x="9"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5">
        <i x="9" s="1"/>
        <i x="0" s="1"/>
        <i x="1" s="1"/>
        <i x="2" s="1"/>
        <i x="3" s="1"/>
        <i x="4" s="1"/>
        <i x="5" s="1"/>
        <i x="6" s="1"/>
        <i x="7" s="1"/>
        <i x="8" s="1"/>
        <i x="10" s="1"/>
        <i x="23" s="1" nd="1"/>
        <i x="12" s="1" nd="1"/>
        <i x="13" s="1" nd="1"/>
        <i x="14" s="1" nd="1"/>
        <i x="15" s="1" nd="1"/>
        <i x="16" s="1" nd="1"/>
        <i x="24" s="1" nd="1"/>
        <i x="17" s="1" nd="1"/>
        <i x="18" s="1" nd="1"/>
        <i x="19" s="1" nd="1"/>
        <i x="20" s="1" nd="1"/>
        <i x="21" s="1" nd="1"/>
        <i x="22" s="1" nd="1"/>
        <i x="11"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13" s="1" nd="1"/>
        <i x="14" s="1" nd="1"/>
        <i x="15" s="1" nd="1"/>
        <i x="16" s="1" nd="1"/>
        <i x="17" s="1" nd="1"/>
        <i x="18" s="1" nd="1"/>
        <i x="19" s="1" nd="1"/>
        <i x="20" s="1" nd="1"/>
        <i x="21" s="1" nd="1"/>
        <i x="11" s="1" nd="1"/>
        <i x="4" s="1" nd="1"/>
        <i x="7" s="1" nd="1"/>
        <i x="6" s="1" nd="1"/>
        <i x="5" s="1" nd="1"/>
        <i x="10" s="1" nd="1"/>
        <i x="9" s="1" nd="1"/>
        <i x="12" s="1" nd="1"/>
        <i x="8"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FD5DBCD2-56CE-4014-BE9F-ABA8EC5DBA8F}"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A1F17B02-F940-4CC8-9871-D12E8025CA4E}"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65F24634-387B-48A2-A8BA-3A4765629230}"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322406-669B-46A0-9F61-64F68275705A}" name="Tabla2" displayName="Tabla2" ref="B5:C102" totalsRowShown="0" headerRowDxfId="2">
  <autoFilter ref="B5:C102" xr:uid="{C4FD57D3-6F2A-447A-8FCE-3E92FAF779C7}"/>
  <tableColumns count="2">
    <tableColumn id="1" xr3:uid="{DDDE62E7-984D-467A-943F-066285BADC6B}" name="FERIADOS" dataDxfId="1"/>
    <tableColumn id="2" xr3:uid="{60978D73-8C9D-4368-9110-73F794612CFA}"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M4" activePane="bottomRight" state="frozen"/>
      <selection pane="bottomRight" activeCell="C8" sqref="C8:C12"/>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c r="E4" s="42"/>
      <c r="F4" s="45">
        <v>45672</v>
      </c>
      <c r="G4" s="45"/>
      <c r="H4" s="163" t="s">
        <v>74</v>
      </c>
      <c r="I4" s="42" t="s">
        <v>75</v>
      </c>
      <c r="J4" s="28" t="s">
        <v>76</v>
      </c>
      <c r="K4" s="258">
        <v>934031654</v>
      </c>
      <c r="L4" s="68" t="s">
        <v>77</v>
      </c>
      <c r="M4" s="259">
        <v>37407</v>
      </c>
      <c r="N4" s="238">
        <f ca="1">IF(Tabla1[[#This Row],[Fecha de nac]]="","",IF(Tabla1[[#This Row],[Fecha Finalización]] &gt;=TODAY(), DATEDIF(Tabla1[[#This Row],[Fecha de nac]],TODAY(),"y"), ROUNDDOWN((Tabla1[[#This Row],[Fecha Finalización]] -Tabla1[[#This Row],[Fecha de nac]])/365,0)))</f>
        <v>22</v>
      </c>
      <c r="O4" s="168"/>
      <c r="P4" s="72" t="s">
        <v>78</v>
      </c>
      <c r="Q4" s="73"/>
      <c r="R4" s="78"/>
      <c r="S4" s="78"/>
      <c r="T4" s="78"/>
      <c r="U4" s="240">
        <f>IF(F4="","",Tabla1[[#This Row],[Fecha Inicio grupo]]+3*7-7)</f>
        <v>45686</v>
      </c>
      <c r="V4" s="241">
        <f>IF(F4="","",EDATE(Tabla1[[#This Row],[Fecha Inicio grupo]],3))</f>
        <v>45762</v>
      </c>
      <c r="W4" s="34"/>
      <c r="X4" s="34"/>
      <c r="Y4" s="76" t="s">
        <v>79</v>
      </c>
      <c r="Z4" s="76" t="s">
        <v>80</v>
      </c>
      <c r="AA4" s="76" t="s">
        <v>80</v>
      </c>
      <c r="AB4" s="76" t="s">
        <v>79</v>
      </c>
      <c r="AC4" s="76" t="s">
        <v>80</v>
      </c>
      <c r="AD4" s="76" t="s">
        <v>80</v>
      </c>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FPP</v>
      </c>
      <c r="BE4" s="234" t="str">
        <f>IF(TRIM(F4)="","",$B$1&amp;"-"&amp;SUBSTITUTE(Tabla1[[#This Row],[Mes Inscrito]]," ","")&amp;"-"&amp;SUBSTITUTE(Tabla1[[#This Row],[Dia de clases Inscrito]]," ","")&amp;"-"&amp;SUBSTITUTE(Tabla1[[#This Row],[Horario Inscrito]]," ","")&amp;"-"&amp;Tabla1[[#This Row],[Fecha Inicio grupo]])</f>
        <v>Lima - Jesús María-Enero---45672</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Lima - Jesús María-Enero---45672-Inscrito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t="e">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c r="E5" s="42"/>
      <c r="F5" s="45">
        <v>45673</v>
      </c>
      <c r="G5" s="45"/>
      <c r="H5" s="163" t="s">
        <v>81</v>
      </c>
      <c r="I5" s="28" t="s">
        <v>82</v>
      </c>
      <c r="J5" s="28" t="s">
        <v>83</v>
      </c>
      <c r="K5" s="69">
        <v>999449592</v>
      </c>
      <c r="L5" s="68" t="s">
        <v>84</v>
      </c>
      <c r="M5" s="46">
        <v>38204</v>
      </c>
      <c r="N5" s="238">
        <f ca="1">IF(Tabla1[[#This Row],[Fecha de nac]]="","",IF(Tabla1[[#This Row],[Fecha Finalización]] &gt;=TODAY(), DATEDIF(Tabla1[[#This Row],[Fecha de nac]],TODAY(),"y"), ROUNDDOWN((Tabla1[[#This Row],[Fecha Finalización]] -Tabla1[[#This Row],[Fecha de nac]])/365,0)))</f>
        <v>20</v>
      </c>
      <c r="O5" s="168"/>
      <c r="P5" s="72" t="s">
        <v>78</v>
      </c>
      <c r="Q5" s="73"/>
      <c r="R5" s="78"/>
      <c r="S5" s="78"/>
      <c r="T5" s="78"/>
      <c r="U5" s="240">
        <f>IF(F5="","",Tabla1[[#This Row],[Fecha Inicio grupo]]+3*7-7)</f>
        <v>45687</v>
      </c>
      <c r="V5" s="241">
        <f>IF(F5="","",EDATE(Tabla1[[#This Row],[Fecha Inicio grupo]],3))</f>
        <v>45763</v>
      </c>
      <c r="W5" s="34"/>
      <c r="X5" s="34"/>
      <c r="Y5" s="76" t="s">
        <v>79</v>
      </c>
      <c r="Z5" s="76" t="s">
        <v>80</v>
      </c>
      <c r="AA5" s="76" t="s">
        <v>80</v>
      </c>
      <c r="AB5" s="76" t="s">
        <v>79</v>
      </c>
      <c r="AC5" s="76" t="s">
        <v>79</v>
      </c>
      <c r="AD5" s="76" t="s">
        <v>79</v>
      </c>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FPP</v>
      </c>
      <c r="BE5" s="234" t="str">
        <f>IF(TRIM(F5)="","",$B$1&amp;"-"&amp;SUBSTITUTE(Tabla1[[#This Row],[Mes Inscrito]]," ","")&amp;"-"&amp;SUBSTITUTE(Tabla1[[#This Row],[Dia de clases Inscrito]]," ","")&amp;"-"&amp;SUBSTITUTE(Tabla1[[#This Row],[Horario Inscrito]]," ","")&amp;"-"&amp;Tabla1[[#This Row],[Fecha Inicio grupo]])</f>
        <v>Lima - Jesús María-Enero---45673</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Lima - Jesús María-Enero---45673-Inscrito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t="e">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c r="E6" s="42"/>
      <c r="F6" s="45">
        <v>45674</v>
      </c>
      <c r="G6" s="45"/>
      <c r="H6" s="163" t="s">
        <v>85</v>
      </c>
      <c r="I6" s="28" t="s">
        <v>86</v>
      </c>
      <c r="J6" s="28" t="s">
        <v>87</v>
      </c>
      <c r="K6" s="69">
        <v>980876250</v>
      </c>
      <c r="L6" s="68" t="s">
        <v>88</v>
      </c>
      <c r="M6" s="46">
        <v>33813</v>
      </c>
      <c r="N6" s="238">
        <f ca="1">IF(Tabla1[[#This Row],[Fecha de nac]]="","",IF(Tabla1[[#This Row],[Fecha Finalización]] &gt;=TODAY(), DATEDIF(Tabla1[[#This Row],[Fecha de nac]],TODAY(),"y"), ROUNDDOWN((Tabla1[[#This Row],[Fecha Finalización]] -Tabla1[[#This Row],[Fecha de nac]])/365,0)))</f>
        <v>32</v>
      </c>
      <c r="O6" s="168"/>
      <c r="P6" s="72" t="s">
        <v>78</v>
      </c>
      <c r="Q6" s="73"/>
      <c r="R6" s="72"/>
      <c r="S6" s="79"/>
      <c r="T6" s="79"/>
      <c r="U6" s="240">
        <f>IF(F6="","",Tabla1[[#This Row],[Fecha Inicio grupo]]+3*7-7)</f>
        <v>45688</v>
      </c>
      <c r="V6" s="241">
        <f>IF(F6="","",EDATE(Tabla1[[#This Row],[Fecha Inicio grupo]],3))</f>
        <v>45764</v>
      </c>
      <c r="W6" s="34"/>
      <c r="X6" s="34"/>
      <c r="Y6" s="76" t="s">
        <v>80</v>
      </c>
      <c r="Z6" s="76" t="s">
        <v>80</v>
      </c>
      <c r="AA6" s="76" t="s">
        <v>80</v>
      </c>
      <c r="AB6" s="76" t="s">
        <v>80</v>
      </c>
      <c r="AC6" s="76" t="s">
        <v>80</v>
      </c>
      <c r="AD6" s="76" t="s">
        <v>80</v>
      </c>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Lima - Jesús María-Enero---45674</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Lima - Jesús María-Enero---45674-Inscrito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t="e">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73</v>
      </c>
      <c r="D7" s="42"/>
      <c r="E7" s="42"/>
      <c r="F7" s="45">
        <v>45675</v>
      </c>
      <c r="G7" s="45"/>
      <c r="H7" s="163" t="s">
        <v>89</v>
      </c>
      <c r="I7" s="28" t="s">
        <v>90</v>
      </c>
      <c r="J7" s="28" t="s">
        <v>91</v>
      </c>
      <c r="K7" s="69">
        <v>980370519</v>
      </c>
      <c r="L7" s="68" t="s">
        <v>92</v>
      </c>
      <c r="M7" s="46"/>
      <c r="N7" s="238" t="str">
        <f ca="1">IF(Tabla1[[#This Row],[Fecha de nac]]="","",IF(Tabla1[[#This Row],[Fecha Finalización]] &gt;=TODAY(), DATEDIF(Tabla1[[#This Row],[Fecha de nac]],TODAY(),"y"), ROUNDDOWN((Tabla1[[#This Row],[Fecha Finalización]] -Tabla1[[#This Row],[Fecha de nac]])/365,0)))</f>
        <v/>
      </c>
      <c r="O7" s="168"/>
      <c r="P7" s="72" t="s">
        <v>78</v>
      </c>
      <c r="Q7" s="73"/>
      <c r="R7" s="78"/>
      <c r="S7" s="78"/>
      <c r="T7" s="78"/>
      <c r="U7" s="240">
        <f>IF(F7="","",Tabla1[[#This Row],[Fecha Inicio grupo]]+3*7-7)</f>
        <v>45689</v>
      </c>
      <c r="V7" s="241">
        <f>IF(F7="","",EDATE(Tabla1[[#This Row],[Fecha Inicio grupo]],3))</f>
        <v>45765</v>
      </c>
      <c r="W7" s="34"/>
      <c r="X7" s="34"/>
      <c r="Y7" s="76" t="s">
        <v>79</v>
      </c>
      <c r="Z7" s="76" t="s">
        <v>80</v>
      </c>
      <c r="AA7" s="76" t="s">
        <v>79</v>
      </c>
      <c r="AB7" s="76" t="s">
        <v>80</v>
      </c>
      <c r="AC7" s="76" t="s">
        <v>79</v>
      </c>
      <c r="AD7" s="76" t="s">
        <v>80</v>
      </c>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No 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c r="BD7" s="233" t="str">
        <f>IF(F7="","",Tabla1[[#This Row],[sem 01]]&amp;Tabla1[[#This Row],[sem 02]]&amp;Tabla1[[#This Row],[sem 03]])</f>
        <v>FPF</v>
      </c>
      <c r="BE7" s="234" t="str">
        <f>IF(TRIM(F7)="","",$B$1&amp;"-"&amp;SUBSTITUTE(Tabla1[[#This Row],[Mes Inscrito]]," ","")&amp;"-"&amp;SUBSTITUTE(Tabla1[[#This Row],[Dia de clases Inscrito]]," ","")&amp;"-"&amp;SUBSTITUTE(Tabla1[[#This Row],[Horario Inscrito]]," ","")&amp;"-"&amp;Tabla1[[#This Row],[Fecha Inicio grupo]])</f>
        <v>Lima - Jesús María-Enero---45675</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Lima - Jesús María-Enero---45675-Inscrito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t="e">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93</v>
      </c>
      <c r="D8" s="42"/>
      <c r="E8" s="42"/>
      <c r="F8" s="45">
        <v>45708</v>
      </c>
      <c r="G8" s="45"/>
      <c r="H8" s="163" t="s">
        <v>94</v>
      </c>
      <c r="I8" s="28" t="s">
        <v>95</v>
      </c>
      <c r="J8" s="28" t="s">
        <v>96</v>
      </c>
      <c r="K8" s="69">
        <v>967363633</v>
      </c>
      <c r="L8" s="68" t="s">
        <v>97</v>
      </c>
      <c r="M8" s="46">
        <v>31130</v>
      </c>
      <c r="N8" s="238">
        <f ca="1">IF(Tabla1[[#This Row],[Fecha de nac]]="","",IF(Tabla1[[#This Row],[Fecha Finalización]] &gt;=TODAY(), DATEDIF(Tabla1[[#This Row],[Fecha de nac]],TODAY(),"y"), ROUNDDOWN((Tabla1[[#This Row],[Fecha Finalización]] -Tabla1[[#This Row],[Fecha de nac]])/365,0)))</f>
        <v>39</v>
      </c>
      <c r="O8" s="168"/>
      <c r="P8" s="72" t="s">
        <v>78</v>
      </c>
      <c r="Q8" s="73"/>
      <c r="R8" s="78"/>
      <c r="S8" s="78"/>
      <c r="T8" s="78"/>
      <c r="U8" s="240">
        <f>IF(F8="","",Tabla1[[#This Row],[Fecha Inicio grupo]]+3*7-7)</f>
        <v>45722</v>
      </c>
      <c r="V8" s="241">
        <f>IF(F8="","",EDATE(Tabla1[[#This Row],[Fecha Inicio grupo]],3))</f>
        <v>45797</v>
      </c>
      <c r="W8" s="34"/>
      <c r="X8" s="34"/>
      <c r="Y8" s="76" t="s">
        <v>80</v>
      </c>
      <c r="Z8" s="76" t="s">
        <v>80</v>
      </c>
      <c r="AA8" s="76"/>
      <c r="AB8" s="76"/>
      <c r="AC8" s="76"/>
      <c r="AD8" s="76"/>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Completar hasta 3ra sem. para evaluar a Probacionista</v>
      </c>
      <c r="AQ8" s="39"/>
      <c r="AR8" s="200"/>
      <c r="AS8" s="39"/>
      <c r="AT8" s="28"/>
      <c r="AU8" s="28"/>
      <c r="AV8" s="28"/>
      <c r="AW8" s="28"/>
      <c r="AX8" s="244">
        <f>IF(V8="","",EOMONTH(EDATE(Tabla1[[#This Row],[Fecha Finalización]],2),0))</f>
        <v>45869</v>
      </c>
      <c r="AY8" s="39"/>
      <c r="AZ8" s="249">
        <f>IF(V8="","",EOMONTH(EDATE(Tabla1[[#This Row],[Fecha Finalización]],3),0))</f>
        <v>45900</v>
      </c>
      <c r="BA8" s="39"/>
      <c r="BB8" s="39"/>
      <c r="BC8" s="235"/>
      <c r="BD8" s="233" t="str">
        <f>IF(F8="","",Tabla1[[#This Row],[sem 01]]&amp;Tabla1[[#This Row],[sem 02]]&amp;Tabla1[[#This Row],[sem 03]])</f>
        <v>PP</v>
      </c>
      <c r="BE8" s="234" t="str">
        <f>IF(TRIM(F8)="","",$B$1&amp;"-"&amp;SUBSTITUTE(Tabla1[[#This Row],[Mes Inscrito]]," ","")&amp;"-"&amp;SUBSTITUTE(Tabla1[[#This Row],[Dia de clases Inscrito]]," ","")&amp;"-"&amp;SUBSTITUTE(Tabla1[[#This Row],[Horario Inscrito]]," ","")&amp;"-"&amp;Tabla1[[#This Row],[Fecha Inicio grupo]])</f>
        <v>Lima - Jesús María-Febrero---45708</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Lima - Jesús María-Febrero---45708-Inscrito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t="e">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75">
      <c r="A9" s="68">
        <v>6</v>
      </c>
      <c r="B9" s="34" t="s">
        <v>72</v>
      </c>
      <c r="C9" s="34" t="s">
        <v>93</v>
      </c>
      <c r="D9" s="42"/>
      <c r="E9" s="42"/>
      <c r="F9" s="45">
        <v>45709</v>
      </c>
      <c r="G9" s="45"/>
      <c r="H9" s="163" t="s">
        <v>98</v>
      </c>
      <c r="I9" s="28" t="s">
        <v>99</v>
      </c>
      <c r="J9" s="28" t="s">
        <v>100</v>
      </c>
      <c r="K9" s="69">
        <v>937750991</v>
      </c>
      <c r="L9" s="311" t="s">
        <v>101</v>
      </c>
      <c r="M9" s="46">
        <v>32375</v>
      </c>
      <c r="N9" s="238">
        <f ca="1">IF(Tabla1[[#This Row],[Fecha de nac]]="","",IF(Tabla1[[#This Row],[Fecha Finalización]] &gt;=TODAY(), DATEDIF(Tabla1[[#This Row],[Fecha de nac]],TODAY(),"y"), ROUNDDOWN((Tabla1[[#This Row],[Fecha Finalización]] -Tabla1[[#This Row],[Fecha de nac]])/365,0)))</f>
        <v>36</v>
      </c>
      <c r="O9" s="168"/>
      <c r="P9" s="72" t="s">
        <v>78</v>
      </c>
      <c r="Q9" s="73"/>
      <c r="R9" s="78"/>
      <c r="S9" s="78"/>
      <c r="T9" s="78"/>
      <c r="U9" s="240">
        <f>IF(F9="","",Tabla1[[#This Row],[Fecha Inicio grupo]]+3*7-7)</f>
        <v>45723</v>
      </c>
      <c r="V9" s="241">
        <f>IF(F9="","",EDATE(Tabla1[[#This Row],[Fecha Inicio grupo]],3))</f>
        <v>45798</v>
      </c>
      <c r="W9" s="34"/>
      <c r="X9" s="34"/>
      <c r="Y9" s="76" t="s">
        <v>80</v>
      </c>
      <c r="Z9" s="76" t="s">
        <v>80</v>
      </c>
      <c r="AA9" s="76"/>
      <c r="AB9" s="76"/>
      <c r="AC9" s="76"/>
      <c r="AD9" s="76"/>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Completar hasta 3ra sem. para evaluar a Probacionista</v>
      </c>
      <c r="AQ9" s="39"/>
      <c r="AR9" s="200"/>
      <c r="AS9" s="39"/>
      <c r="AT9" s="28"/>
      <c r="AU9" s="28"/>
      <c r="AV9" s="28"/>
      <c r="AW9" s="28"/>
      <c r="AX9" s="244">
        <f>IF(V9="","",EOMONTH(EDATE(Tabla1[[#This Row],[Fecha Finalización]],2),0))</f>
        <v>45869</v>
      </c>
      <c r="AY9" s="39"/>
      <c r="AZ9" s="249">
        <f>IF(V9="","",EOMONTH(EDATE(Tabla1[[#This Row],[Fecha Finalización]],3),0))</f>
        <v>45900</v>
      </c>
      <c r="BA9" s="39"/>
      <c r="BB9" s="39"/>
      <c r="BC9" s="235"/>
      <c r="BD9" s="233" t="str">
        <f>IF(F9="","",Tabla1[[#This Row],[sem 01]]&amp;Tabla1[[#This Row],[sem 02]]&amp;Tabla1[[#This Row],[sem 03]])</f>
        <v>PP</v>
      </c>
      <c r="BE9" s="234" t="str">
        <f>IF(TRIM(F9)="","",$B$1&amp;"-"&amp;SUBSTITUTE(Tabla1[[#This Row],[Mes Inscrito]]," ","")&amp;"-"&amp;SUBSTITUTE(Tabla1[[#This Row],[Dia de clases Inscrito]]," ","")&amp;"-"&amp;SUBSTITUTE(Tabla1[[#This Row],[Horario Inscrito]]," ","")&amp;"-"&amp;Tabla1[[#This Row],[Fecha Inicio grupo]])</f>
        <v>Lima - Jesús María-Febrero---45709</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Lima - Jesús María-Febrero---45709-Inscrito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t="e">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24.75">
      <c r="A10" s="68">
        <v>7</v>
      </c>
      <c r="B10" s="34" t="s">
        <v>72</v>
      </c>
      <c r="C10" s="34" t="s">
        <v>93</v>
      </c>
      <c r="D10" s="42"/>
      <c r="E10" s="42"/>
      <c r="F10" s="45">
        <v>45710</v>
      </c>
      <c r="G10" s="45"/>
      <c r="H10" s="163" t="s">
        <v>102</v>
      </c>
      <c r="I10" s="28" t="s">
        <v>103</v>
      </c>
      <c r="J10" s="28" t="s">
        <v>104</v>
      </c>
      <c r="K10" s="69">
        <v>966390900</v>
      </c>
      <c r="L10" s="311" t="s">
        <v>105</v>
      </c>
      <c r="M10" s="46">
        <v>31681</v>
      </c>
      <c r="N10" s="238">
        <f ca="1">IF(Tabla1[[#This Row],[Fecha de nac]]="","",IF(Tabla1[[#This Row],[Fecha Finalización]] &gt;=TODAY(), DATEDIF(Tabla1[[#This Row],[Fecha de nac]],TODAY(),"y"), ROUNDDOWN((Tabla1[[#This Row],[Fecha Finalización]] -Tabla1[[#This Row],[Fecha de nac]])/365,0)))</f>
        <v>38</v>
      </c>
      <c r="O10" s="168"/>
      <c r="P10" s="72" t="s">
        <v>78</v>
      </c>
      <c r="Q10" s="73"/>
      <c r="R10" s="78"/>
      <c r="S10" s="78"/>
      <c r="T10" s="78"/>
      <c r="U10" s="240">
        <f>IF(F10="","",Tabla1[[#This Row],[Fecha Inicio grupo]]+3*7-7)</f>
        <v>45724</v>
      </c>
      <c r="V10" s="241">
        <f>IF(F10="","",EDATE(Tabla1[[#This Row],[Fecha Inicio grupo]],3))</f>
        <v>45799</v>
      </c>
      <c r="W10" s="34"/>
      <c r="X10" s="34"/>
      <c r="Y10" s="76" t="s">
        <v>80</v>
      </c>
      <c r="Z10" s="76" t="s">
        <v>80</v>
      </c>
      <c r="AA10" s="76"/>
      <c r="AB10" s="76"/>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Completar hasta 3ra sem. para evaluar a Probacionista</v>
      </c>
      <c r="AQ10" s="39"/>
      <c r="AR10" s="200"/>
      <c r="AS10" s="39"/>
      <c r="AT10" s="28"/>
      <c r="AU10" s="28"/>
      <c r="AV10" s="28"/>
      <c r="AW10" s="28"/>
      <c r="AX10" s="244">
        <f>IF(V10="","",EOMONTH(EDATE(Tabla1[[#This Row],[Fecha Finalización]],2),0))</f>
        <v>45869</v>
      </c>
      <c r="AY10" s="39"/>
      <c r="AZ10" s="249">
        <f>IF(V10="","",EOMONTH(EDATE(Tabla1[[#This Row],[Fecha Finalización]],3),0))</f>
        <v>45900</v>
      </c>
      <c r="BA10" s="39"/>
      <c r="BB10" s="39"/>
      <c r="BC10" s="235"/>
      <c r="BD10" s="233" t="str">
        <f>IF(F10="","",Tabla1[[#This Row],[sem 01]]&amp;Tabla1[[#This Row],[sem 02]]&amp;Tabla1[[#This Row],[sem 03]])</f>
        <v>PP</v>
      </c>
      <c r="BE10" s="234" t="str">
        <f>IF(TRIM(F10)="","",$B$1&amp;"-"&amp;SUBSTITUTE(Tabla1[[#This Row],[Mes Inscrito]]," ","")&amp;"-"&amp;SUBSTITUTE(Tabla1[[#This Row],[Dia de clases Inscrito]]," ","")&amp;"-"&amp;SUBSTITUTE(Tabla1[[#This Row],[Horario Inscrito]]," ","")&amp;"-"&amp;Tabla1[[#This Row],[Fecha Inicio grupo]])</f>
        <v>Lima - Jesús María-Febrero---45710</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Lima - Jesús María-Febrero---45710-Inscrito Nuevo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t="e">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75">
      <c r="A11" s="68">
        <v>8</v>
      </c>
      <c r="B11" s="34" t="s">
        <v>72</v>
      </c>
      <c r="C11" s="34" t="s">
        <v>93</v>
      </c>
      <c r="D11" s="42"/>
      <c r="E11" s="42"/>
      <c r="F11" s="45">
        <v>45711</v>
      </c>
      <c r="G11" s="45"/>
      <c r="H11" s="163" t="s">
        <v>106</v>
      </c>
      <c r="I11" s="28" t="s">
        <v>107</v>
      </c>
      <c r="J11" s="28" t="s">
        <v>108</v>
      </c>
      <c r="K11" s="69">
        <v>999781799</v>
      </c>
      <c r="L11" s="311" t="s">
        <v>109</v>
      </c>
      <c r="M11" s="46">
        <v>18503</v>
      </c>
      <c r="N11" s="238">
        <f ca="1">IF(Tabla1[[#This Row],[Fecha de nac]]="","",IF(Tabla1[[#This Row],[Fecha Finalización]] &gt;=TODAY(), DATEDIF(Tabla1[[#This Row],[Fecha de nac]],TODAY(),"y"), ROUNDDOWN((Tabla1[[#This Row],[Fecha Finalización]] -Tabla1[[#This Row],[Fecha de nac]])/365,0)))</f>
        <v>74</v>
      </c>
      <c r="O11" s="168"/>
      <c r="P11" s="72" t="s">
        <v>78</v>
      </c>
      <c r="Q11" s="73"/>
      <c r="R11" s="78"/>
      <c r="S11" s="78"/>
      <c r="T11" s="78"/>
      <c r="U11" s="240">
        <f>IF(F11="","",Tabla1[[#This Row],[Fecha Inicio grupo]]+3*7-7)</f>
        <v>45725</v>
      </c>
      <c r="V11" s="241">
        <f>IF(F11="","",EDATE(Tabla1[[#This Row],[Fecha Inicio grupo]],3))</f>
        <v>45800</v>
      </c>
      <c r="W11" s="34"/>
      <c r="X11" s="34"/>
      <c r="Y11" s="76" t="s">
        <v>80</v>
      </c>
      <c r="Z11" s="76" t="s">
        <v>80</v>
      </c>
      <c r="AA11" s="76"/>
      <c r="AB11" s="76"/>
      <c r="AC11" s="76"/>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Completar hasta 3ra sem. para evaluar a Probacionista</v>
      </c>
      <c r="AQ11" s="39"/>
      <c r="AR11" s="200"/>
      <c r="AS11" s="39"/>
      <c r="AT11" s="28"/>
      <c r="AU11" s="28"/>
      <c r="AV11" s="28"/>
      <c r="AW11" s="28"/>
      <c r="AX11" s="244">
        <f>IF(V11="","",EOMONTH(EDATE(Tabla1[[#This Row],[Fecha Finalización]],2),0))</f>
        <v>45869</v>
      </c>
      <c r="AY11" s="39"/>
      <c r="AZ11" s="249">
        <f>IF(V11="","",EOMONTH(EDATE(Tabla1[[#This Row],[Fecha Finalización]],3),0))</f>
        <v>45900</v>
      </c>
      <c r="BA11" s="39"/>
      <c r="BB11" s="39"/>
      <c r="BC11" s="235"/>
      <c r="BD11" s="233" t="str">
        <f>IF(F11="","",Tabla1[[#This Row],[sem 01]]&amp;Tabla1[[#This Row],[sem 02]]&amp;Tabla1[[#This Row],[sem 03]])</f>
        <v>PP</v>
      </c>
      <c r="BE11" s="234" t="str">
        <f>IF(TRIM(F11)="","",$B$1&amp;"-"&amp;SUBSTITUTE(Tabla1[[#This Row],[Mes Inscrito]]," ","")&amp;"-"&amp;SUBSTITUTE(Tabla1[[#This Row],[Dia de clases Inscrito]]," ","")&amp;"-"&amp;SUBSTITUTE(Tabla1[[#This Row],[Horario Inscrito]]," ","")&amp;"-"&amp;Tabla1[[#This Row],[Fecha Inicio grupo]])</f>
        <v>Lima - Jesús María-Febrero---45711</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Lima - Jesús María-Febrero---45711-Inscrito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t="e">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93</v>
      </c>
      <c r="D12" s="42"/>
      <c r="E12" s="42"/>
      <c r="F12" s="45">
        <v>45712</v>
      </c>
      <c r="G12" s="45"/>
      <c r="H12" s="163" t="s">
        <v>110</v>
      </c>
      <c r="I12" s="28" t="s">
        <v>111</v>
      </c>
      <c r="J12" s="28" t="s">
        <v>112</v>
      </c>
      <c r="K12" s="69">
        <v>973958728</v>
      </c>
      <c r="L12" s="68" t="s">
        <v>113</v>
      </c>
      <c r="M12" s="46">
        <v>31313</v>
      </c>
      <c r="N12" s="238">
        <f ca="1">IF(Tabla1[[#This Row],[Fecha de nac]]="","",IF(Tabla1[[#This Row],[Fecha Finalización]] &gt;=TODAY(), DATEDIF(Tabla1[[#This Row],[Fecha de nac]],TODAY(),"y"), ROUNDDOWN((Tabla1[[#This Row],[Fecha Finalización]] -Tabla1[[#This Row],[Fecha de nac]])/365,0)))</f>
        <v>39</v>
      </c>
      <c r="O12" s="168"/>
      <c r="P12" s="72" t="s">
        <v>78</v>
      </c>
      <c r="Q12" s="73"/>
      <c r="R12" s="78"/>
      <c r="S12" s="78"/>
      <c r="T12" s="78"/>
      <c r="U12" s="240">
        <f>IF(F12="","",Tabla1[[#This Row],[Fecha Inicio grupo]]+3*7-7)</f>
        <v>45726</v>
      </c>
      <c r="V12" s="241">
        <f>IF(F12="","",EDATE(Tabla1[[#This Row],[Fecha Inicio grupo]],3))</f>
        <v>45801</v>
      </c>
      <c r="W12" s="34"/>
      <c r="X12" s="34"/>
      <c r="Y12" s="76" t="s">
        <v>80</v>
      </c>
      <c r="Z12" s="76" t="s">
        <v>80</v>
      </c>
      <c r="AA12" s="76"/>
      <c r="AB12" s="76"/>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Completar hasta 3ra sem. para evaluar a Probacionista</v>
      </c>
      <c r="AQ12" s="39"/>
      <c r="AR12" s="200"/>
      <c r="AS12" s="39"/>
      <c r="AT12" s="28"/>
      <c r="AU12" s="28"/>
      <c r="AV12" s="28"/>
      <c r="AW12" s="28"/>
      <c r="AX12" s="244">
        <f>IF(V12="","",EOMONTH(EDATE(Tabla1[[#This Row],[Fecha Finalización]],2),0))</f>
        <v>45869</v>
      </c>
      <c r="AY12" s="39"/>
      <c r="AZ12" s="250">
        <f>IF(V12="","",EOMONTH(EDATE(Tabla1[[#This Row],[Fecha Finalización]],3),0))</f>
        <v>45900</v>
      </c>
      <c r="BA12" s="39"/>
      <c r="BB12" s="59"/>
      <c r="BC12" s="236"/>
      <c r="BD12" s="233" t="str">
        <f>IF(F12="","",Tabla1[[#This Row],[sem 01]]&amp;Tabla1[[#This Row],[sem 02]]&amp;Tabla1[[#This Row],[sem 03]])</f>
        <v>PP</v>
      </c>
      <c r="BE12" s="234" t="str">
        <f>IF(TRIM(F12)="","",$B$1&amp;"-"&amp;SUBSTITUTE(Tabla1[[#This Row],[Mes Inscrito]]," ","")&amp;"-"&amp;SUBSTITUTE(Tabla1[[#This Row],[Dia de clases Inscrito]]," ","")&amp;"-"&amp;SUBSTITUTE(Tabla1[[#This Row],[Horario Inscrito]]," ","")&amp;"-"&amp;Tabla1[[#This Row],[Fecha Inicio grupo]])</f>
        <v>Lima - Jesús María-Febrero---45712</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Lima - Jesús María-Febrero---45712-Inscrito Nuevo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t="e">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
      <c r="A13" s="68">
        <v>10</v>
      </c>
      <c r="B13" s="34"/>
      <c r="C13" s="34"/>
      <c r="D13" s="42"/>
      <c r="E13" s="42"/>
      <c r="F13" s="45"/>
      <c r="G13" s="45"/>
      <c r="H13" s="163"/>
      <c r="I13" s="28"/>
      <c r="J13" s="28"/>
      <c r="K13" s="69"/>
      <c r="L13" s="68"/>
      <c r="M13" s="46"/>
      <c r="N13" s="238" t="str">
        <f ca="1">IF(Tabla1[[#This Row],[Fecha de nac]]="","",IF(Tabla1[[#This Row],[Fecha Finalización]] &gt;=TODAY(), DATEDIF(Tabla1[[#This Row],[Fecha de nac]],TODAY(),"y"), ROUNDDOWN((Tabla1[[#This Row],[Fecha Finalización]] -Tabla1[[#This Row],[Fecha de nac]])/365,0)))</f>
        <v/>
      </c>
      <c r="O13" s="168"/>
      <c r="P13" s="72"/>
      <c r="Q13" s="73"/>
      <c r="R13" s="78"/>
      <c r="S13" s="78"/>
      <c r="T13" s="78"/>
      <c r="U13" s="240" t="str">
        <f>IF(F13="","",Tabla1[[#This Row],[Fecha Inicio grupo]]+3*7-7)</f>
        <v/>
      </c>
      <c r="V13" s="241" t="str">
        <f>IF(F13="","",EDATE(Tabla1[[#This Row],[Fecha Inicio grupo]],3))</f>
        <v/>
      </c>
      <c r="W13" s="34"/>
      <c r="X13" s="34"/>
      <c r="Y13" s="76"/>
      <c r="Z13" s="76"/>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
      </c>
      <c r="AQ13" s="39"/>
      <c r="AR13" s="200"/>
      <c r="AS13" s="39"/>
      <c r="AT13" s="28"/>
      <c r="AU13" s="54"/>
      <c r="AV13" s="54"/>
      <c r="AW13" s="54"/>
      <c r="AX13" s="247" t="str">
        <f>IF(V13="","",EOMONTH(EDATE(Tabla1[[#This Row],[Fecha Finalización]],2),0))</f>
        <v/>
      </c>
      <c r="AY13" s="39"/>
      <c r="AZ13" s="249" t="str">
        <f>IF(V13="","",EOMONTH(EDATE(Tabla1[[#This Row],[Fecha Finalización]],3),0))</f>
        <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7"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8"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8" t="str">
        <f>IF(Tabla1[[#This Row],[Fecha Inicio grupo]]="","",IFERROR(VLOOKUP(Tabla1[[#This Row],[Mes de Alta como miembro]],Parámetros!$AM$2:$AN$16,2,0),"01/01/1900"))</f>
        <v/>
      </c>
    </row>
    <row r="14" spans="1:79" s="24" customFormat="1" ht="12">
      <c r="A14" s="68">
        <v>11</v>
      </c>
      <c r="B14" s="34"/>
      <c r="C14" s="34"/>
      <c r="D14" s="42"/>
      <c r="E14" s="42"/>
      <c r="F14" s="45"/>
      <c r="G14" s="45"/>
      <c r="H14" s="163"/>
      <c r="I14" s="28"/>
      <c r="J14" s="28"/>
      <c r="K14" s="69"/>
      <c r="L14" s="68"/>
      <c r="M14" s="260"/>
      <c r="N14" s="238" t="str">
        <f ca="1">IF(Tabla1[[#This Row],[Fecha de nac]]="","",IF(Tabla1[[#This Row],[Fecha Finalización]] &gt;=TODAY(), DATEDIF(Tabla1[[#This Row],[Fecha de nac]],TODAY(),"y"), ROUNDDOWN((Tabla1[[#This Row],[Fecha Finalización]] -Tabla1[[#This Row],[Fecha de nac]])/365,0)))</f>
        <v/>
      </c>
      <c r="O14" s="168"/>
      <c r="P14" s="72"/>
      <c r="Q14" s="73"/>
      <c r="R14" s="72"/>
      <c r="S14" s="79"/>
      <c r="T14" s="79"/>
      <c r="U14" s="240" t="str">
        <f>IF(F14="","",Tabla1[[#This Row],[Fecha Inicio grupo]]+3*7-7)</f>
        <v/>
      </c>
      <c r="V14" s="241" t="str">
        <f>IF(F14="","",EDATE(Tabla1[[#This Row],[Fecha Inicio grupo]],3))</f>
        <v/>
      </c>
      <c r="W14" s="34"/>
      <c r="X14" s="34"/>
      <c r="Y14" s="76"/>
      <c r="Z14" s="76"/>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
      </c>
      <c r="AQ14" s="39"/>
      <c r="AR14" s="200"/>
      <c r="AS14" s="39"/>
      <c r="AT14" s="28"/>
      <c r="AU14" s="54"/>
      <c r="AV14" s="54"/>
      <c r="AW14" s="54"/>
      <c r="AX14" s="247" t="str">
        <f>IF(V14="","",EOMONTH(EDATE(Tabla1[[#This Row],[Fecha Finalización]],2),0))</f>
        <v/>
      </c>
      <c r="AY14" s="39"/>
      <c r="AZ14" s="249" t="str">
        <f>IF(V14="","",EOMONTH(EDATE(Tabla1[[#This Row],[Fecha Finalización]],3),0))</f>
        <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7"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8"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8" t="str">
        <f>IF(Tabla1[[#This Row],[Fecha Inicio grupo]]="","",IFERROR(VLOOKUP(Tabla1[[#This Row],[Mes de Alta como miembro]],Parámetros!$AM$2:$AN$16,2,0),"01/01/1900"))</f>
        <v/>
      </c>
    </row>
    <row r="15" spans="1:79" s="24" customFormat="1" ht="12">
      <c r="A15" s="68">
        <v>12</v>
      </c>
      <c r="B15" s="34"/>
      <c r="C15" s="34"/>
      <c r="D15" s="42"/>
      <c r="E15" s="42"/>
      <c r="F15" s="45"/>
      <c r="G15" s="45"/>
      <c r="H15" s="163"/>
      <c r="I15" s="28"/>
      <c r="J15" s="28"/>
      <c r="K15" s="69"/>
      <c r="L15" s="68"/>
      <c r="M15" s="46"/>
      <c r="N15" s="238" t="str">
        <f ca="1">IF(Tabla1[[#This Row],[Fecha de nac]]="","",IF(Tabla1[[#This Row],[Fecha Finalización]] &gt;=TODAY(), DATEDIF(Tabla1[[#This Row],[Fecha de nac]],TODAY(),"y"), ROUNDDOWN((Tabla1[[#This Row],[Fecha Finalización]] -Tabla1[[#This Row],[Fecha de nac]])/365,0)))</f>
        <v/>
      </c>
      <c r="O15" s="168"/>
      <c r="P15" s="72"/>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7"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8"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8"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7"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8"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8"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7"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8"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8"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7"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8"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8"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7"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8"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8"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7"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8"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8"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8pBSmhg0sxwq0C3GxnlJEjspuCAnk3vS9M5gn1GoihBTSufp8GGrPyMkN0DbzHeY/mxaObZvUXG1cuxkC9yvUw==" saltValue="XR5OfN4mfMyucCYtS9r5i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24ED8431-435C-4FCF-81F1-6AAE1E231178}">
          <x14:formula1>
            <xm:f>Parámetros!$AA$2:$AA$10</xm:f>
          </x14:formula1>
          <xm:sqref>P4:P1099</xm:sqref>
        </x14:dataValidation>
        <x14:dataValidation type="list" allowBlank="1" showInputMessage="1" showErrorMessage="1" xr:uid="{7A124D99-ADF0-42F1-A3DB-6ABF075F51EC}">
          <x14:formula1>
            <xm:f>Parámetros!$G$2:$G$10</xm:f>
          </x14:formula1>
          <xm:sqref>Y4:AN1099</xm:sqref>
        </x14:dataValidation>
        <x14:dataValidation type="list" allowBlank="1" showInputMessage="1" showErrorMessage="1" xr:uid="{C9D6AF5A-4402-4C24-B63A-E76711277D3D}">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E74E4-2126-4057-BD5E-B2B1894C9D73}">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Lima - Jesús María</v>
      </c>
      <c r="C1" s="11"/>
      <c r="D1" s="12"/>
      <c r="E1" s="58"/>
      <c r="F1" s="58"/>
      <c r="G1" s="58"/>
      <c r="H1" s="58"/>
      <c r="I1" s="58"/>
      <c r="J1" s="58"/>
      <c r="K1" s="58"/>
      <c r="L1" s="58"/>
      <c r="M1" s="58"/>
      <c r="N1" s="58"/>
      <c r="O1" s="58"/>
      <c r="P1" s="58"/>
      <c r="Q1" s="58"/>
      <c r="R1" s="277"/>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114</v>
      </c>
      <c r="C4" s="36" t="s">
        <v>115</v>
      </c>
      <c r="D4" s="36" t="s">
        <v>116</v>
      </c>
      <c r="E4" s="35" t="s">
        <v>117</v>
      </c>
      <c r="F4" s="35" t="s">
        <v>73</v>
      </c>
      <c r="G4" s="35" t="s">
        <v>93</v>
      </c>
      <c r="H4" s="35" t="s">
        <v>118</v>
      </c>
      <c r="I4" s="35" t="s">
        <v>119</v>
      </c>
      <c r="J4" s="35" t="s">
        <v>120</v>
      </c>
      <c r="K4" s="35" t="s">
        <v>121</v>
      </c>
      <c r="L4" s="35" t="s">
        <v>122</v>
      </c>
      <c r="M4" s="35" t="s">
        <v>123</v>
      </c>
      <c r="N4" s="35" t="s">
        <v>124</v>
      </c>
      <c r="O4" s="35" t="s">
        <v>125</v>
      </c>
      <c r="P4" s="35" t="s">
        <v>126</v>
      </c>
      <c r="Q4" s="35" t="s">
        <v>117</v>
      </c>
      <c r="R4" s="57" t="s">
        <v>127</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128</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Lima - Jesús María</v>
      </c>
    </row>
    <row r="6" spans="1:16144">
      <c r="A6" s="3"/>
      <c r="B6" s="9"/>
      <c r="C6" s="4"/>
      <c r="D6" s="4"/>
      <c r="E6" s="6"/>
      <c r="F6" s="6"/>
      <c r="G6" s="6"/>
      <c r="H6" s="6"/>
      <c r="I6" s="6"/>
      <c r="J6" s="6"/>
      <c r="K6" s="6"/>
      <c r="L6" s="6"/>
      <c r="M6" s="6"/>
      <c r="N6" s="6"/>
      <c r="O6" s="6"/>
      <c r="P6" s="6"/>
      <c r="Q6" s="6"/>
      <c r="R6" s="56" t="str">
        <f>+Probacionistas!$B$1</f>
        <v>Lima - Jesús María</v>
      </c>
    </row>
    <row r="7" spans="1:16144">
      <c r="A7" s="3">
        <v>2.8</v>
      </c>
      <c r="B7" s="295" t="s">
        <v>129</v>
      </c>
      <c r="C7" s="4">
        <f>+SUM(F7:K7)</f>
        <v>24</v>
      </c>
      <c r="D7" s="4">
        <f>+SUM(F7:Q7)</f>
        <v>48</v>
      </c>
      <c r="E7" s="8">
        <v>0</v>
      </c>
      <c r="F7" s="294">
        <f>COUNTIFS(Probacionistas!$AP:$AP,"&lt;&gt;"" ",Probacionistas!$P:$P,"Inscrito nuevo",Probacionistas!$F:$F,"&gt;="&amp;DATEVALUE("01/"&amp;F3&amp;"/"&amp;$F$2),Probacionistas!$F:$F,"&lt;="&amp;EOMONTH(DATEVALUE("01/"&amp;F3&amp;"/"&amp;$F$2),0))</f>
        <v>4</v>
      </c>
      <c r="G7" s="294">
        <f>COUNTIFS(Probacionistas!$AP:$AP,"&lt;&gt;"" ",Probacionistas!$P:$P,"Inscrito nuevo",Probacionistas!$F:$F,"&gt;="&amp;DATEVALUE("01/"&amp;G3&amp;"/"&amp;$F$2),Probacionistas!$F:$F,"&lt;="&amp;EOMONTH(DATEVALUE("01/"&amp;G3&amp;"/"&amp;$F$2),0))</f>
        <v>4</v>
      </c>
      <c r="H7" s="294">
        <f>COUNTIFS(Probacionistas!$AP:$AP,"&lt;&gt;"" ",Probacionistas!$P:$P,"Inscrito nuevo",Probacionistas!$F:$F,"&gt;="&amp;DATEVALUE("01/"&amp;H3&amp;"/"&amp;$F$2),Probacionistas!$F:$F,"&lt;="&amp;EOMONTH(DATEVALUE("01/"&amp;H3&amp;"/"&amp;$F$2),0))</f>
        <v>4</v>
      </c>
      <c r="I7" s="294">
        <f>COUNTIFS(Probacionistas!$AP:$AP,"&lt;&gt;"" ",Probacionistas!$P:$P,"Inscrito nuevo",Probacionistas!$F:$F,"&gt;="&amp;DATEVALUE("01/"&amp;I3&amp;"/"&amp;$F$2),Probacionistas!$F:$F,"&lt;="&amp;EOMONTH(DATEVALUE("01/"&amp;I3&amp;"/"&amp;$F$2),0))</f>
        <v>4</v>
      </c>
      <c r="J7" s="294">
        <f>COUNTIFS(Probacionistas!$AP:$AP,"&lt;&gt;"" ",Probacionistas!$P:$P,"Inscrito nuevo",Probacionistas!$F:$F,"&gt;="&amp;DATEVALUE("01/"&amp;J3&amp;"/"&amp;$F$2),Probacionistas!$F:$F,"&lt;="&amp;EOMONTH(DATEVALUE("01/"&amp;J3&amp;"/"&amp;$F$2),0))</f>
        <v>4</v>
      </c>
      <c r="K7" s="294">
        <f>COUNTIFS(Probacionistas!$AP:$AP,"&lt;&gt;"" ",Probacionistas!$P:$P,"Inscrito nuevo",Probacionistas!$F:$F,"&gt;="&amp;DATEVALUE("01/"&amp;K3&amp;"/"&amp;$F$2),Probacionistas!$F:$F,"&lt;="&amp;EOMONTH(DATEVALUE("01/"&amp;K3&amp;"/"&amp;$F$2),0))</f>
        <v>4</v>
      </c>
      <c r="L7" s="294">
        <f>COUNTIFS(Probacionistas!$AP:$AP,"&lt;&gt;"" ",Probacionistas!$P:$P,"Inscrito nuevo",Probacionistas!$F:$F,"&gt;="&amp;DATEVALUE("01/"&amp;L3&amp;"/"&amp;$F$2),Probacionistas!$F:$F,"&lt;="&amp;EOMONTH(DATEVALUE("01/"&amp;L3&amp;"/"&amp;$F$2),0))</f>
        <v>4</v>
      </c>
      <c r="M7" s="294">
        <f>COUNTIFS(Probacionistas!$AP:$AP,"&lt;&gt;"" ",Probacionistas!$P:$P,"Inscrito nuevo",Probacionistas!$F:$F,"&gt;="&amp;DATEVALUE("01/"&amp;M3&amp;"/"&amp;$F$2),Probacionistas!$F:$F,"&lt;="&amp;EOMONTH(DATEVALUE("01/"&amp;M3&amp;"/"&amp;$F$2),0))</f>
        <v>4</v>
      </c>
      <c r="N7" s="294">
        <f>COUNTIFS(Probacionistas!$AP:$AP,"&lt;&gt;"" ",Probacionistas!$P:$P,"Inscrito nuevo",Probacionistas!$F:$F,"&gt;="&amp;DATEVALUE("01/"&amp;N3&amp;"/"&amp;$F$2),Probacionistas!$F:$F,"&lt;="&amp;EOMONTH(DATEVALUE("01/"&amp;N3&amp;"/"&amp;$F$2),0))</f>
        <v>4</v>
      </c>
      <c r="O7" s="294">
        <f>COUNTIFS(Probacionistas!$AP:$AP,"&lt;&gt;"" ",Probacionistas!$P:$P,"Inscrito nuevo",Probacionistas!$F:$F,"&gt;="&amp;DATEVALUE("01/"&amp;O3&amp;"/"&amp;$F$2),Probacionistas!$F:$F,"&lt;="&amp;EOMONTH(DATEVALUE("01/"&amp;O3&amp;"/"&amp;$F$2),0))</f>
        <v>4</v>
      </c>
      <c r="P7" s="294">
        <f>COUNTIFS(Probacionistas!$AP:$AP,"&lt;&gt;"" ",Probacionistas!$P:$P,"Inscrito nuevo",Probacionistas!$F:$F,"&gt;="&amp;DATEVALUE("01/"&amp;P3&amp;"/"&amp;$F$2),Probacionistas!$F:$F,"&lt;="&amp;EOMONTH(DATEVALUE("01/"&amp;P3&amp;"/"&amp;$F$2),0))</f>
        <v>4</v>
      </c>
      <c r="Q7" s="294">
        <f>COUNTIFS(Probacionistas!$AP:$AP,"&lt;&gt;"" ",Probacionistas!$P:$P,"Inscrito nuevo",Probacionistas!$F:$F,"&gt;="&amp;DATEVALUE("01/"&amp;Q3&amp;"/"&amp;$F$2),Probacionistas!$F:$F,"&lt;="&amp;EOMONTH(DATEVALUE("01/"&amp;Q3&amp;"/"&amp;$F$2),0))</f>
        <v>4</v>
      </c>
      <c r="R7" s="56" t="str">
        <f>+Probacionistas!$B$1</f>
        <v>Lima - Jesús María</v>
      </c>
      <c r="S7" s="62"/>
    </row>
    <row r="8" spans="1:16144">
      <c r="A8" s="3">
        <v>2.82</v>
      </c>
      <c r="B8" s="295" t="s">
        <v>130</v>
      </c>
      <c r="C8" s="4">
        <f ca="1">+SUM(F8:K8)</f>
        <v>12</v>
      </c>
      <c r="D8" s="4">
        <f ca="1">+SUM(F8:Q8)</f>
        <v>24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2</v>
      </c>
      <c r="H8" s="294">
        <f ca="1">COUNTIFS(Probacionistas!$P:$P,"Inscrito nuevo",Probacionistas!$AP:$AP,"Asistió",Probacionistas!$F:$F,"&lt;="&amp;EOMONTH(DATEVALUE("01/"&amp;H3&amp;"/"&amp;$F$2),0),Probacionistas!$V:$V,"&gt;="&amp;DATEVALUE("01/"&amp;H3&amp;"/"&amp;$F$2),Probacionistas!$N:$N, "&lt;="&amp;"28")</f>
        <v>2</v>
      </c>
      <c r="I8" s="294">
        <f ca="1">COUNTIFS(Probacionistas!$P:$P,"Inscrito nuevo",Probacionistas!$AP:$AP,"Asistió",Probacionistas!$F:$F,"&lt;="&amp;EOMONTH(DATEVALUE("01/"&amp;I3&amp;"/"&amp;$F$2),0),Probacionistas!$V:$V,"&gt;="&amp;DATEVALUE("01/"&amp;I3&amp;"/"&amp;$F$2),Probacionistas!$N:$N, "&lt;="&amp;"28")</f>
        <v>2</v>
      </c>
      <c r="J8" s="294">
        <f ca="1">COUNTIFS(Probacionistas!$P:$P,"Inscrito nuevo",Probacionistas!$AP:$AP,"Asistió",Probacionistas!$F:$F,"&lt;="&amp;EOMONTH(DATEVALUE("01/"&amp;J3&amp;"/"&amp;$F$2),0),Probacionistas!$V:$V,"&gt;="&amp;DATEVALUE("01/"&amp;J3&amp;"/"&amp;$F$2),Probacionistas!$N:$N, "&lt;="&amp;"28")</f>
        <v>2</v>
      </c>
      <c r="K8" s="294">
        <f ca="1">COUNTIFS(Probacionistas!$P:$P,"Inscrito nuevo",Probacionistas!$AP:$AP,"Asistió",Probacionistas!$F:$F,"&lt;="&amp;EOMONTH(DATEVALUE("01/"&amp;K3&amp;"/"&amp;$F$2),0),Probacionistas!$V:$V,"&gt;="&amp;DATEVALUE("01/"&amp;K3&amp;"/"&amp;$F$2),Probacionistas!$N:$N, "&lt;="&amp;"28")</f>
        <v>2</v>
      </c>
      <c r="L8" s="294">
        <f ca="1">COUNTIFS(Probacionistas!$P:$P,"Inscrito nuevo",Probacionistas!$AP:$AP,"Asistió",Probacionistas!$F:$F,"&lt;="&amp;EOMONTH(DATEVALUE("01/"&amp;L3&amp;"/"&amp;$F$2),0),Probacionistas!$V:$V,"&gt;="&amp;DATEVALUE("01/"&amp;L3&amp;"/"&amp;$F$2),Probacionistas!$N:$N, "&lt;="&amp;"28")</f>
        <v>2</v>
      </c>
      <c r="M8" s="294">
        <f ca="1">COUNTIFS(Probacionistas!$P:$P,"Inscrito nuevo",Probacionistas!$AP:$AP,"Asistió",Probacionistas!$F:$F,"&lt;="&amp;EOMONTH(DATEVALUE("01/"&amp;M3&amp;"/"&amp;$F$2),0),Probacionistas!$V:$V,"&gt;="&amp;DATEVALUE("01/"&amp;M3&amp;"/"&amp;$F$2),Probacionistas!$N:$N, "&lt;="&amp;"28")</f>
        <v>2</v>
      </c>
      <c r="N8" s="294">
        <f ca="1">COUNTIFS(Probacionistas!$P:$P,"Inscrito nuevo",Probacionistas!$AP:$AP,"Asistió",Probacionistas!$F:$F,"&lt;="&amp;EOMONTH(DATEVALUE("01/"&amp;N3&amp;"/"&amp;$F$2),0),Probacionistas!$V:$V,"&gt;="&amp;DATEVALUE("01/"&amp;N3&amp;"/"&amp;$F$2),Probacionistas!$N:$N, "&lt;="&amp;"28")</f>
        <v>2</v>
      </c>
      <c r="O8" s="294">
        <f ca="1">COUNTIFS(Probacionistas!$P:$P,"Inscrito nuevo",Probacionistas!$AP:$AP,"Asistió",Probacionistas!$F:$F,"&lt;="&amp;EOMONTH(DATEVALUE("01/"&amp;O3&amp;"/"&amp;$F$2),0),Probacionistas!$V:$V,"&gt;="&amp;DATEVALUE("01/"&amp;O3&amp;"/"&amp;$F$2),Probacionistas!$N:$N, "&lt;="&amp;"28")</f>
        <v>2</v>
      </c>
      <c r="P8" s="294">
        <f ca="1">COUNTIFS(Probacionistas!$P:$P,"Inscrito nuevo",Probacionistas!$AP:$AP,"Asistió",Probacionistas!$F:$F,"&lt;="&amp;EOMONTH(DATEVALUE("01/"&amp;P3&amp;"/"&amp;$F$2),0),Probacionistas!$V:$V,"&gt;="&amp;DATEVALUE("01/"&amp;P3&amp;"/"&amp;$F$2),Probacionistas!$N:$N, "&lt;="&amp;"28")</f>
        <v>2</v>
      </c>
      <c r="Q8" s="294">
        <f ca="1">COUNTIFS(Probacionistas!$P:$P,"Inscrito nuevo",Probacionistas!$AP:$AP,"Asistió",Probacionistas!$F:$F,"&lt;="&amp;EOMONTH(DATEVALUE("01/"&amp;Q3&amp;"/"&amp;$F$2),0),Probacionistas!$V:$V,"&gt;="&amp;DATEVALUE("01/"&amp;Q3&amp;"/"&amp;$F$2),Probacionistas!$N:$N, "&lt;="&amp;"28")</f>
        <v>2</v>
      </c>
      <c r="R8" s="56" t="str">
        <f>+Probacionistas!$B$1</f>
        <v>Lima - Jesús María</v>
      </c>
    </row>
    <row r="9" spans="1:16144">
      <c r="A9" s="305"/>
      <c r="B9" s="295"/>
      <c r="C9" s="306"/>
      <c r="D9" s="306"/>
      <c r="E9" s="294"/>
      <c r="F9" s="294"/>
      <c r="G9" s="294"/>
      <c r="H9" s="294"/>
      <c r="I9" s="294"/>
      <c r="J9" s="294"/>
      <c r="K9" s="294"/>
      <c r="L9" s="294"/>
      <c r="M9" s="294"/>
      <c r="N9" s="294"/>
      <c r="O9" s="294"/>
      <c r="P9" s="294"/>
      <c r="Q9" s="294"/>
      <c r="R9" s="56" t="str">
        <f>+Probacionistas!$B$1</f>
        <v>Lima - Jesús María</v>
      </c>
    </row>
    <row r="10" spans="1:16144">
      <c r="A10" s="296">
        <v>2.101</v>
      </c>
      <c r="B10" s="297" t="s">
        <v>131</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Lima - Jesús María</v>
      </c>
    </row>
    <row r="11" spans="1:16144">
      <c r="A11" s="296">
        <v>2.11</v>
      </c>
      <c r="B11" s="298" t="s">
        <v>132</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Lima - Jesús María</v>
      </c>
    </row>
    <row r="12" spans="1:16144">
      <c r="A12" s="296">
        <v>2.12</v>
      </c>
      <c r="B12" s="299" t="s">
        <v>133</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Lima - Jesús María</v>
      </c>
    </row>
    <row r="13" spans="1:16144">
      <c r="A13" s="296">
        <v>2.13</v>
      </c>
      <c r="B13" s="299" t="s">
        <v>134</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Lima - Jesús María</v>
      </c>
    </row>
    <row r="14" spans="1:16144">
      <c r="A14" s="296">
        <v>2.14</v>
      </c>
      <c r="B14" s="299" t="s">
        <v>135</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Lima - Jesús María</v>
      </c>
    </row>
    <row r="15" spans="1:16144">
      <c r="A15" s="296">
        <v>2.15</v>
      </c>
      <c r="B15" s="299" t="s">
        <v>136</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Lima - Jesús María</v>
      </c>
    </row>
    <row r="16" spans="1:16144">
      <c r="A16" s="296">
        <v>2.16</v>
      </c>
      <c r="B16" s="295" t="s">
        <v>137</v>
      </c>
      <c r="C16" s="4">
        <f>+SUM(E16:L16)</f>
        <v>21</v>
      </c>
      <c r="D16" s="4">
        <f>+SUM(E16:Q16)</f>
        <v>36</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3</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3</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3</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3</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3</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3</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3</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3</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3</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3</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3</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3</v>
      </c>
      <c r="R16" s="56" t="str">
        <f>+Probacionistas!$B$1</f>
        <v>Lima - Jesús María</v>
      </c>
    </row>
    <row r="17" spans="1:18">
      <c r="A17" s="302">
        <v>1</v>
      </c>
      <c r="B17" s="295" t="s">
        <v>138</v>
      </c>
      <c r="C17" s="4">
        <f>+SUM(F17:K17)</f>
        <v>18</v>
      </c>
      <c r="D17" s="4">
        <f>+SUM(F17:Q17)</f>
        <v>36</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3</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3</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3</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3</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3</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3</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3</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3</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3</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3</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3</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3</v>
      </c>
      <c r="R17" s="56" t="str">
        <f>+Probacionistas!$B$1</f>
        <v>Lima - Jesús María</v>
      </c>
    </row>
    <row r="18" spans="1:18">
      <c r="A18" s="296">
        <v>2.17</v>
      </c>
      <c r="B18" s="303" t="s">
        <v>139</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0</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Lima - Jesús María</v>
      </c>
    </row>
    <row r="19" spans="1:18">
      <c r="A19" s="296"/>
      <c r="B19" s="3" t="s">
        <v>140</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Lima - Jesús María</v>
      </c>
    </row>
    <row r="20" spans="1:18">
      <c r="A20" s="296">
        <v>2.1800000000000002</v>
      </c>
      <c r="B20" s="7" t="s">
        <v>141</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Lima - Jesús María</v>
      </c>
    </row>
    <row r="21" spans="1:18">
      <c r="A21" s="296">
        <v>2.19</v>
      </c>
      <c r="B21" s="165" t="s">
        <v>142</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Lima - Jesús María</v>
      </c>
    </row>
    <row r="22" spans="1:18">
      <c r="A22" s="296">
        <v>2.2000000000000002</v>
      </c>
      <c r="B22" s="7" t="s">
        <v>143</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Lima - Jesús María</v>
      </c>
    </row>
    <row r="23" spans="1:18">
      <c r="A23" s="296">
        <v>2.21</v>
      </c>
      <c r="B23" s="7" t="s">
        <v>144</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Lima - Jesús María</v>
      </c>
    </row>
    <row r="24" spans="1:18">
      <c r="A24" s="296">
        <v>2.2200000000000002</v>
      </c>
      <c r="B24" s="7" t="s">
        <v>145</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Lima - Jesús María</v>
      </c>
    </row>
    <row r="25" spans="1:18">
      <c r="A25" s="296">
        <v>2.23</v>
      </c>
      <c r="B25" s="10" t="s">
        <v>146</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Lima - Jesús María</v>
      </c>
    </row>
    <row r="26" spans="1:18">
      <c r="A26" s="296">
        <v>2.2400000000000002</v>
      </c>
      <c r="B26" s="10" t="s">
        <v>147</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Lima - Jesús María</v>
      </c>
    </row>
    <row r="27" spans="1:18">
      <c r="A27" s="296">
        <v>2.25</v>
      </c>
      <c r="B27" s="166" t="s">
        <v>148</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Lima - Jesús María</v>
      </c>
    </row>
  </sheetData>
  <sheetProtection algorithmName="SHA-512" hashValue="2tpjm+q3Hg4ME0QrZFD0WZODeCMQw/X3iszYIyPTenZsryeSOkoSlbFtNHARlpjgwPJxBoVH/jLCMN7BJjHypA==" saltValue="dM0Cce7dMXI1uaQDBIlW+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149</v>
      </c>
      <c r="C1" s="115" t="s">
        <v>150</v>
      </c>
      <c r="D1" s="135" t="s">
        <v>15</v>
      </c>
      <c r="E1" s="214" t="s">
        <v>23</v>
      </c>
      <c r="G1" s="134" t="s">
        <v>151</v>
      </c>
      <c r="H1" s="115" t="s">
        <v>152</v>
      </c>
      <c r="J1" s="121" t="s">
        <v>153</v>
      </c>
      <c r="K1" s="122" t="s">
        <v>154</v>
      </c>
      <c r="L1" s="122" t="s">
        <v>155</v>
      </c>
      <c r="M1" s="122" t="s">
        <v>156</v>
      </c>
      <c r="N1" s="120" t="s">
        <v>157</v>
      </c>
      <c r="P1" s="133" t="s">
        <v>158</v>
      </c>
      <c r="R1" s="223" t="s">
        <v>127</v>
      </c>
      <c r="S1" s="224" t="s">
        <v>159</v>
      </c>
      <c r="U1" s="111" t="s">
        <v>160</v>
      </c>
      <c r="V1" s="137" t="s">
        <v>161</v>
      </c>
      <c r="W1" s="159" t="s">
        <v>162</v>
      </c>
      <c r="X1" s="160" t="s">
        <v>152</v>
      </c>
      <c r="Y1" s="161" t="s">
        <v>163</v>
      </c>
      <c r="AA1" s="110" t="s">
        <v>164</v>
      </c>
      <c r="AC1" s="110" t="s">
        <v>165</v>
      </c>
      <c r="AE1" s="171" t="s">
        <v>12</v>
      </c>
      <c r="AF1" s="172" t="s">
        <v>166</v>
      </c>
      <c r="AH1" s="173" t="s">
        <v>13</v>
      </c>
      <c r="AI1" s="174" t="s">
        <v>166</v>
      </c>
      <c r="AK1" s="274" t="s">
        <v>53</v>
      </c>
      <c r="AM1" s="290" t="s">
        <v>53</v>
      </c>
      <c r="AN1" s="290" t="s">
        <v>167</v>
      </c>
    </row>
    <row r="2" spans="1:40" ht="24">
      <c r="A2" s="158" t="s">
        <v>72</v>
      </c>
      <c r="B2" s="116">
        <v>1</v>
      </c>
      <c r="C2" s="156" t="s">
        <v>168</v>
      </c>
      <c r="D2" s="278" t="s">
        <v>169</v>
      </c>
      <c r="E2" s="215" t="s">
        <v>170</v>
      </c>
      <c r="G2" s="268" t="s">
        <v>80</v>
      </c>
      <c r="H2" s="268" t="s">
        <v>171</v>
      </c>
      <c r="J2" s="123" t="s">
        <v>80</v>
      </c>
      <c r="K2" s="112" t="s">
        <v>80</v>
      </c>
      <c r="L2" s="112" t="s">
        <v>80</v>
      </c>
      <c r="M2" s="112" t="str">
        <f>+J2&amp;K2&amp;L2</f>
        <v>PPP</v>
      </c>
      <c r="N2" s="124" t="s">
        <v>172</v>
      </c>
      <c r="P2" s="230" t="s">
        <v>173</v>
      </c>
      <c r="R2" s="225" t="s">
        <v>174</v>
      </c>
      <c r="S2" s="226">
        <v>5</v>
      </c>
      <c r="U2" s="219" t="s">
        <v>175</v>
      </c>
      <c r="V2" s="220" t="s">
        <v>176</v>
      </c>
      <c r="W2" s="142" t="s">
        <v>177</v>
      </c>
      <c r="X2" s="140" t="s">
        <v>178</v>
      </c>
      <c r="Y2" s="136" t="s">
        <v>179</v>
      </c>
      <c r="AA2" s="269" t="s">
        <v>180</v>
      </c>
      <c r="AC2" s="139" t="s">
        <v>73</v>
      </c>
      <c r="AE2" s="175" t="s">
        <v>181</v>
      </c>
      <c r="AF2" s="176" t="s">
        <v>181</v>
      </c>
      <c r="AH2" s="177" t="s">
        <v>182</v>
      </c>
      <c r="AI2" s="178" t="s">
        <v>183</v>
      </c>
      <c r="AK2" s="275" t="s">
        <v>184</v>
      </c>
      <c r="AM2" s="275" t="s">
        <v>184</v>
      </c>
      <c r="AN2" s="291">
        <v>45658</v>
      </c>
    </row>
    <row r="3" spans="1:40" ht="14.45">
      <c r="A3" s="208" t="s">
        <v>185</v>
      </c>
      <c r="B3" s="116">
        <v>2</v>
      </c>
      <c r="C3" s="117" t="s">
        <v>186</v>
      </c>
      <c r="D3" s="278" t="s">
        <v>187</v>
      </c>
      <c r="E3" s="216" t="s">
        <v>188</v>
      </c>
      <c r="G3" s="268" t="s">
        <v>189</v>
      </c>
      <c r="H3" s="268" t="s">
        <v>180</v>
      </c>
      <c r="J3" s="125" t="s">
        <v>80</v>
      </c>
      <c r="K3" s="26" t="s">
        <v>80</v>
      </c>
      <c r="L3" s="26" t="s">
        <v>79</v>
      </c>
      <c r="M3" s="26" t="str">
        <f t="shared" ref="M3:M17" si="0">+J3&amp;K3&amp;L3</f>
        <v>PPF</v>
      </c>
      <c r="N3" s="126" t="s">
        <v>172</v>
      </c>
      <c r="P3" s="230" t="s">
        <v>190</v>
      </c>
      <c r="R3" s="225" t="s">
        <v>191</v>
      </c>
      <c r="S3" s="226" t="s">
        <v>192</v>
      </c>
      <c r="U3" s="221" t="s">
        <v>193</v>
      </c>
      <c r="V3" s="222" t="s">
        <v>193</v>
      </c>
      <c r="W3" s="142" t="s">
        <v>194</v>
      </c>
      <c r="X3" s="140" t="s">
        <v>195</v>
      </c>
      <c r="Y3" s="136"/>
      <c r="AA3" s="270" t="s">
        <v>78</v>
      </c>
      <c r="AC3" s="139" t="s">
        <v>93</v>
      </c>
      <c r="AE3" s="175" t="s">
        <v>196</v>
      </c>
      <c r="AF3" s="176" t="s">
        <v>197</v>
      </c>
      <c r="AH3" s="177" t="s">
        <v>198</v>
      </c>
      <c r="AI3" s="178" t="s">
        <v>199</v>
      </c>
      <c r="AK3" s="276" t="s">
        <v>200</v>
      </c>
      <c r="AM3" s="276" t="s">
        <v>200</v>
      </c>
      <c r="AN3" s="291">
        <v>45689</v>
      </c>
    </row>
    <row r="4" spans="1:40" ht="14.45">
      <c r="A4" s="158" t="s">
        <v>201</v>
      </c>
      <c r="B4" s="207">
        <v>3</v>
      </c>
      <c r="C4" s="117" t="s">
        <v>202</v>
      </c>
      <c r="D4" s="278" t="s">
        <v>202</v>
      </c>
      <c r="E4" s="217" t="s">
        <v>203</v>
      </c>
      <c r="G4" s="268" t="s">
        <v>79</v>
      </c>
      <c r="H4" s="268" t="s">
        <v>204</v>
      </c>
      <c r="J4" s="125" t="s">
        <v>80</v>
      </c>
      <c r="K4" s="26" t="s">
        <v>79</v>
      </c>
      <c r="L4" s="26" t="s">
        <v>80</v>
      </c>
      <c r="M4" s="26" t="str">
        <f t="shared" si="0"/>
        <v>PFP</v>
      </c>
      <c r="N4" s="126" t="s">
        <v>172</v>
      </c>
      <c r="P4" s="230" t="s">
        <v>205</v>
      </c>
      <c r="R4" s="225" t="s">
        <v>206</v>
      </c>
      <c r="S4" s="226" t="s">
        <v>207</v>
      </c>
      <c r="U4" s="221" t="s">
        <v>208</v>
      </c>
      <c r="V4" s="222" t="s">
        <v>209</v>
      </c>
      <c r="W4" s="142" t="s">
        <v>210</v>
      </c>
      <c r="X4" s="140" t="s">
        <v>211</v>
      </c>
      <c r="Y4" s="136"/>
      <c r="AA4" s="271" t="s">
        <v>212</v>
      </c>
      <c r="AC4" s="139" t="s">
        <v>118</v>
      </c>
      <c r="AE4" s="175" t="s">
        <v>213</v>
      </c>
      <c r="AF4" s="179" t="s">
        <v>214</v>
      </c>
      <c r="AH4" s="177"/>
      <c r="AI4" s="180" t="s">
        <v>215</v>
      </c>
      <c r="AK4" s="275" t="s">
        <v>216</v>
      </c>
      <c r="AM4" s="275" t="s">
        <v>216</v>
      </c>
      <c r="AN4" s="291">
        <v>45717</v>
      </c>
    </row>
    <row r="5" spans="1:40" ht="24">
      <c r="B5" s="116">
        <v>4</v>
      </c>
      <c r="C5" s="117" t="s">
        <v>217</v>
      </c>
      <c r="D5" s="278" t="s">
        <v>218</v>
      </c>
      <c r="E5" s="217" t="s">
        <v>219</v>
      </c>
      <c r="G5" s="268" t="s">
        <v>220</v>
      </c>
      <c r="H5" s="268" t="s">
        <v>221</v>
      </c>
      <c r="J5" s="127" t="s">
        <v>80</v>
      </c>
      <c r="K5" s="25" t="s">
        <v>79</v>
      </c>
      <c r="L5" s="25" t="s">
        <v>79</v>
      </c>
      <c r="M5" s="25" t="str">
        <f t="shared" si="0"/>
        <v>PFF</v>
      </c>
      <c r="N5" s="128" t="s">
        <v>222</v>
      </c>
      <c r="P5" s="230" t="s">
        <v>223</v>
      </c>
      <c r="R5" s="225" t="s">
        <v>224</v>
      </c>
      <c r="S5" s="226" t="s">
        <v>225</v>
      </c>
      <c r="U5" s="221" t="s">
        <v>226</v>
      </c>
      <c r="V5" s="222" t="s">
        <v>175</v>
      </c>
      <c r="W5" s="142" t="s">
        <v>227</v>
      </c>
      <c r="X5" s="140" t="s">
        <v>228</v>
      </c>
      <c r="Y5" s="136"/>
      <c r="AA5" s="272" t="s">
        <v>229</v>
      </c>
      <c r="AC5" s="139" t="s">
        <v>119</v>
      </c>
      <c r="AE5" s="181" t="s">
        <v>230</v>
      </c>
      <c r="AH5" s="182"/>
      <c r="AK5" s="275" t="s">
        <v>231</v>
      </c>
      <c r="AM5" s="275" t="s">
        <v>231</v>
      </c>
      <c r="AN5" s="291">
        <v>45748</v>
      </c>
    </row>
    <row r="6" spans="1:40" ht="24">
      <c r="B6" s="116">
        <v>5</v>
      </c>
      <c r="C6" s="117" t="s">
        <v>232</v>
      </c>
      <c r="D6" s="278"/>
      <c r="E6" s="216" t="s">
        <v>233</v>
      </c>
      <c r="G6" s="268" t="s">
        <v>234</v>
      </c>
      <c r="H6" s="268" t="s">
        <v>235</v>
      </c>
      <c r="J6" s="125" t="s">
        <v>79</v>
      </c>
      <c r="K6" s="26" t="s">
        <v>80</v>
      </c>
      <c r="L6" s="26" t="s">
        <v>80</v>
      </c>
      <c r="M6" s="26" t="str">
        <f t="shared" si="0"/>
        <v>FPP</v>
      </c>
      <c r="N6" s="126" t="s">
        <v>172</v>
      </c>
      <c r="P6" s="34" t="s">
        <v>236</v>
      </c>
      <c r="R6" s="225" t="s">
        <v>237</v>
      </c>
      <c r="S6" s="226" t="s">
        <v>192</v>
      </c>
      <c r="W6" s="142" t="s">
        <v>238</v>
      </c>
      <c r="X6" s="140" t="s">
        <v>239</v>
      </c>
      <c r="Y6" s="136" t="s">
        <v>179</v>
      </c>
      <c r="AA6" s="273" t="s">
        <v>240</v>
      </c>
      <c r="AC6" s="139" t="s">
        <v>120</v>
      </c>
      <c r="AE6" s="181"/>
      <c r="AH6" s="182"/>
      <c r="AK6" s="275" t="s">
        <v>241</v>
      </c>
      <c r="AM6" s="275" t="s">
        <v>241</v>
      </c>
      <c r="AN6" s="291">
        <v>45778</v>
      </c>
    </row>
    <row r="7" spans="1:40" ht="14.45">
      <c r="B7" s="116">
        <v>6</v>
      </c>
      <c r="C7" s="117"/>
      <c r="D7" s="278"/>
      <c r="E7" s="216" t="s">
        <v>242</v>
      </c>
      <c r="G7" s="268"/>
      <c r="H7" s="268" t="s">
        <v>243</v>
      </c>
      <c r="J7" s="127" t="s">
        <v>79</v>
      </c>
      <c r="K7" s="25" t="s">
        <v>80</v>
      </c>
      <c r="L7" s="25" t="s">
        <v>79</v>
      </c>
      <c r="M7" s="25" t="str">
        <f t="shared" si="0"/>
        <v>FPF</v>
      </c>
      <c r="N7" s="128" t="s">
        <v>222</v>
      </c>
      <c r="P7" s="230" t="s">
        <v>244</v>
      </c>
      <c r="R7" s="225" t="s">
        <v>245</v>
      </c>
      <c r="S7" s="226">
        <v>6</v>
      </c>
      <c r="W7" s="142" t="s">
        <v>246</v>
      </c>
      <c r="X7" s="140" t="s">
        <v>247</v>
      </c>
      <c r="Y7" s="136"/>
      <c r="AC7" s="139" t="s">
        <v>121</v>
      </c>
      <c r="AE7" s="181"/>
      <c r="AH7" s="182"/>
      <c r="AK7" s="268" t="s">
        <v>248</v>
      </c>
      <c r="AM7" s="268" t="s">
        <v>248</v>
      </c>
      <c r="AN7" s="291">
        <v>45809</v>
      </c>
    </row>
    <row r="8" spans="1:40" ht="24.6" thickBot="1">
      <c r="B8" s="116">
        <v>7</v>
      </c>
      <c r="C8" s="117"/>
      <c r="D8" s="278"/>
      <c r="E8" s="217" t="s">
        <v>249</v>
      </c>
      <c r="J8" s="125" t="s">
        <v>79</v>
      </c>
      <c r="K8" s="26" t="s">
        <v>79</v>
      </c>
      <c r="L8" s="26" t="s">
        <v>80</v>
      </c>
      <c r="M8" s="26" t="str">
        <f t="shared" si="0"/>
        <v>FFP</v>
      </c>
      <c r="N8" s="126" t="s">
        <v>172</v>
      </c>
      <c r="P8" s="230" t="s">
        <v>250</v>
      </c>
      <c r="R8" s="225" t="s">
        <v>251</v>
      </c>
      <c r="S8" s="226" t="s">
        <v>207</v>
      </c>
      <c r="W8" s="143" t="s">
        <v>252</v>
      </c>
      <c r="X8" s="141" t="s">
        <v>253</v>
      </c>
      <c r="Y8" s="138" t="s">
        <v>254</v>
      </c>
      <c r="AC8" s="139" t="s">
        <v>122</v>
      </c>
      <c r="AE8" s="181"/>
      <c r="AH8" s="182"/>
      <c r="AK8" s="268" t="s">
        <v>255</v>
      </c>
      <c r="AM8" s="268" t="s">
        <v>255</v>
      </c>
      <c r="AN8" s="291">
        <v>45839</v>
      </c>
    </row>
    <row r="9" spans="1:40" ht="14.45">
      <c r="B9" s="116">
        <v>8</v>
      </c>
      <c r="C9" s="117"/>
      <c r="D9" s="278"/>
      <c r="E9" s="217" t="s">
        <v>256</v>
      </c>
      <c r="J9" s="127" t="s">
        <v>79</v>
      </c>
      <c r="K9" s="25" t="s">
        <v>79</v>
      </c>
      <c r="L9" s="25" t="s">
        <v>79</v>
      </c>
      <c r="M9" s="25" t="str">
        <f t="shared" si="0"/>
        <v>FFF</v>
      </c>
      <c r="N9" s="128" t="s">
        <v>222</v>
      </c>
      <c r="P9" s="230" t="s">
        <v>257</v>
      </c>
      <c r="R9" s="225" t="s">
        <v>258</v>
      </c>
      <c r="S9" s="226" t="s">
        <v>207</v>
      </c>
      <c r="AC9" s="139" t="s">
        <v>123</v>
      </c>
      <c r="AE9" s="181"/>
      <c r="AH9" s="182"/>
      <c r="AK9" s="268" t="s">
        <v>259</v>
      </c>
      <c r="AM9" s="268" t="s">
        <v>259</v>
      </c>
      <c r="AN9" s="291">
        <v>45870</v>
      </c>
    </row>
    <row r="10" spans="1:40" ht="14.45">
      <c r="B10" s="116">
        <v>9</v>
      </c>
      <c r="C10" s="117"/>
      <c r="D10" s="278"/>
      <c r="E10" s="216" t="s">
        <v>260</v>
      </c>
      <c r="J10" s="127"/>
      <c r="K10" s="25"/>
      <c r="L10" s="25"/>
      <c r="M10" s="25"/>
      <c r="N10" s="126"/>
      <c r="R10" s="225" t="s">
        <v>261</v>
      </c>
      <c r="S10" s="226" t="s">
        <v>207</v>
      </c>
      <c r="AC10" s="139" t="s">
        <v>262</v>
      </c>
      <c r="AE10" s="181"/>
      <c r="AH10" s="182"/>
      <c r="AK10" s="268" t="s">
        <v>263</v>
      </c>
      <c r="AM10" s="268" t="s">
        <v>263</v>
      </c>
      <c r="AN10" s="291">
        <v>45901</v>
      </c>
    </row>
    <row r="11" spans="1:40" ht="14.45">
      <c r="B11" s="116">
        <v>10</v>
      </c>
      <c r="C11" s="117"/>
      <c r="D11" s="278"/>
      <c r="E11" s="216" t="s">
        <v>264</v>
      </c>
      <c r="J11" s="127" t="s">
        <v>80</v>
      </c>
      <c r="K11" s="25" t="s">
        <v>80</v>
      </c>
      <c r="L11" s="25" t="s">
        <v>265</v>
      </c>
      <c r="M11" s="25" t="str">
        <f t="shared" si="0"/>
        <v>PPCG</v>
      </c>
      <c r="N11" s="128" t="s">
        <v>222</v>
      </c>
      <c r="R11" s="225" t="s">
        <v>266</v>
      </c>
      <c r="S11" s="226" t="s">
        <v>207</v>
      </c>
      <c r="AC11" s="139" t="s">
        <v>125</v>
      </c>
      <c r="AK11" s="268" t="s">
        <v>267</v>
      </c>
      <c r="AM11" s="268" t="s">
        <v>267</v>
      </c>
      <c r="AN11" s="291">
        <v>45931</v>
      </c>
    </row>
    <row r="12" spans="1:40" ht="14.45">
      <c r="B12" s="116">
        <v>11</v>
      </c>
      <c r="C12" s="117"/>
      <c r="D12" s="278"/>
      <c r="E12" s="217" t="s">
        <v>268</v>
      </c>
      <c r="J12" s="125" t="s">
        <v>80</v>
      </c>
      <c r="K12" s="26" t="s">
        <v>265</v>
      </c>
      <c r="L12" s="26" t="s">
        <v>80</v>
      </c>
      <c r="M12" s="26" t="str">
        <f t="shared" si="0"/>
        <v>PCGP</v>
      </c>
      <c r="N12" s="129" t="s">
        <v>172</v>
      </c>
      <c r="R12" s="225" t="s">
        <v>269</v>
      </c>
      <c r="S12" s="226" t="s">
        <v>207</v>
      </c>
      <c r="AC12" s="139" t="s">
        <v>126</v>
      </c>
      <c r="AK12" s="268" t="s">
        <v>270</v>
      </c>
      <c r="AM12" s="268" t="s">
        <v>270</v>
      </c>
      <c r="AN12" s="291">
        <v>45962</v>
      </c>
    </row>
    <row r="13" spans="1:40" ht="15" thickBot="1">
      <c r="B13" s="116">
        <v>12</v>
      </c>
      <c r="C13" s="117"/>
      <c r="D13" s="278"/>
      <c r="E13" s="218" t="s">
        <v>271</v>
      </c>
      <c r="J13" s="125" t="s">
        <v>265</v>
      </c>
      <c r="K13" s="26" t="s">
        <v>80</v>
      </c>
      <c r="L13" s="26" t="s">
        <v>80</v>
      </c>
      <c r="M13" s="26" t="str">
        <f t="shared" si="0"/>
        <v>CGPP</v>
      </c>
      <c r="N13" s="129" t="s">
        <v>172</v>
      </c>
      <c r="R13" s="225" t="s">
        <v>272</v>
      </c>
      <c r="S13" s="226" t="s">
        <v>225</v>
      </c>
      <c r="AC13" s="139" t="s">
        <v>117</v>
      </c>
      <c r="AK13" s="268" t="s">
        <v>273</v>
      </c>
      <c r="AM13" s="268" t="s">
        <v>273</v>
      </c>
      <c r="AN13" s="291">
        <v>45992</v>
      </c>
    </row>
    <row r="14" spans="1:40" ht="15" thickBot="1">
      <c r="B14" s="116">
        <v>13</v>
      </c>
      <c r="C14" s="117"/>
      <c r="D14" s="278"/>
      <c r="J14" s="130" t="s">
        <v>80</v>
      </c>
      <c r="K14" s="131" t="s">
        <v>265</v>
      </c>
      <c r="L14" s="131" t="s">
        <v>265</v>
      </c>
      <c r="M14" s="131" t="str">
        <f t="shared" si="0"/>
        <v>PCGCG</v>
      </c>
      <c r="N14" s="132" t="s">
        <v>222</v>
      </c>
      <c r="R14" s="225" t="s">
        <v>274</v>
      </c>
      <c r="S14" s="226">
        <v>6</v>
      </c>
      <c r="AK14" s="268" t="s">
        <v>275</v>
      </c>
      <c r="AM14" s="268" t="s">
        <v>275</v>
      </c>
      <c r="AN14" s="291">
        <v>46023</v>
      </c>
    </row>
    <row r="15" spans="1:40" ht="14.45">
      <c r="B15" s="116">
        <v>14</v>
      </c>
      <c r="C15" s="117"/>
      <c r="D15" s="278"/>
      <c r="J15" s="125" t="s">
        <v>80</v>
      </c>
      <c r="K15" s="26" t="s">
        <v>276</v>
      </c>
      <c r="L15" s="26" t="s">
        <v>80</v>
      </c>
      <c r="M15" s="26" t="str">
        <f t="shared" si="0"/>
        <v>PCLP</v>
      </c>
      <c r="N15" s="129" t="s">
        <v>172</v>
      </c>
      <c r="R15" s="225" t="s">
        <v>277</v>
      </c>
      <c r="S15" s="226" t="s">
        <v>225</v>
      </c>
      <c r="AK15" s="268" t="s">
        <v>278</v>
      </c>
      <c r="AM15" s="268" t="s">
        <v>278</v>
      </c>
      <c r="AN15" s="291">
        <v>46054</v>
      </c>
    </row>
    <row r="16" spans="1:40" ht="14.45">
      <c r="B16" s="116">
        <v>15</v>
      </c>
      <c r="C16" s="117"/>
      <c r="D16" s="278"/>
      <c r="J16" s="125" t="s">
        <v>276</v>
      </c>
      <c r="K16" s="26" t="s">
        <v>80</v>
      </c>
      <c r="L16" s="26" t="s">
        <v>80</v>
      </c>
      <c r="M16" s="26" t="str">
        <f t="shared" si="0"/>
        <v>CLPP</v>
      </c>
      <c r="N16" s="129" t="s">
        <v>172</v>
      </c>
      <c r="R16" s="225" t="s">
        <v>279</v>
      </c>
      <c r="S16" s="226" t="s">
        <v>207</v>
      </c>
      <c r="AK16" s="275" t="s">
        <v>280</v>
      </c>
      <c r="AM16" s="275" t="s">
        <v>280</v>
      </c>
      <c r="AN16" s="291">
        <v>46082</v>
      </c>
    </row>
    <row r="17" spans="2:19" ht="15" thickBot="1">
      <c r="B17" s="116">
        <v>16</v>
      </c>
      <c r="C17" s="117"/>
      <c r="D17" s="278"/>
      <c r="J17" s="130" t="s">
        <v>80</v>
      </c>
      <c r="K17" s="131" t="s">
        <v>276</v>
      </c>
      <c r="L17" s="131" t="s">
        <v>276</v>
      </c>
      <c r="M17" s="131" t="str">
        <f t="shared" si="0"/>
        <v>PCLCL</v>
      </c>
      <c r="N17" s="132" t="s">
        <v>222</v>
      </c>
      <c r="R17" s="225" t="s">
        <v>281</v>
      </c>
      <c r="S17" s="226" t="s">
        <v>207</v>
      </c>
    </row>
    <row r="18" spans="2:19" ht="12.75" customHeight="1">
      <c r="B18" s="116">
        <v>17</v>
      </c>
      <c r="C18" s="117"/>
      <c r="D18" s="278"/>
      <c r="R18" s="225" t="s">
        <v>282</v>
      </c>
      <c r="S18" s="226" t="s">
        <v>192</v>
      </c>
    </row>
    <row r="19" spans="2:19" ht="12.75" customHeight="1">
      <c r="B19" s="116">
        <v>18</v>
      </c>
      <c r="C19" s="117"/>
      <c r="D19" s="278"/>
      <c r="R19" s="225" t="s">
        <v>283</v>
      </c>
      <c r="S19" s="226" t="s">
        <v>192</v>
      </c>
    </row>
    <row r="20" spans="2:19" ht="12.75" customHeight="1">
      <c r="B20" s="116">
        <v>19</v>
      </c>
      <c r="C20" s="117"/>
      <c r="D20" s="278"/>
      <c r="R20" s="225" t="s">
        <v>284</v>
      </c>
      <c r="S20" s="226">
        <v>3</v>
      </c>
    </row>
    <row r="21" spans="2:19" ht="12.75" customHeight="1" thickBot="1">
      <c r="B21" s="116">
        <v>20</v>
      </c>
      <c r="C21" s="117"/>
      <c r="D21" s="279"/>
      <c r="R21" s="225" t="s">
        <v>285</v>
      </c>
      <c r="S21" s="226">
        <v>6</v>
      </c>
    </row>
    <row r="22" spans="2:19" ht="12.75" customHeight="1">
      <c r="B22" s="116">
        <v>21</v>
      </c>
      <c r="C22" s="117"/>
      <c r="R22" s="225" t="s">
        <v>286</v>
      </c>
      <c r="S22" s="226" t="s">
        <v>207</v>
      </c>
    </row>
    <row r="23" spans="2:19" ht="12.75" customHeight="1">
      <c r="B23" s="116">
        <v>22</v>
      </c>
      <c r="C23" s="117"/>
      <c r="R23" s="225" t="s">
        <v>287</v>
      </c>
      <c r="S23" s="226" t="s">
        <v>207</v>
      </c>
    </row>
    <row r="24" spans="2:19" ht="12.75" customHeight="1">
      <c r="B24" s="116">
        <v>23</v>
      </c>
      <c r="C24" s="117"/>
      <c r="R24" s="225" t="s">
        <v>288</v>
      </c>
      <c r="S24" s="226" t="s">
        <v>207</v>
      </c>
    </row>
    <row r="25" spans="2:19" ht="12.75" customHeight="1">
      <c r="B25" s="116">
        <v>24</v>
      </c>
      <c r="C25" s="117"/>
      <c r="R25" s="225" t="s">
        <v>289</v>
      </c>
      <c r="S25" s="226">
        <v>6</v>
      </c>
    </row>
    <row r="26" spans="2:19" ht="12.75" customHeight="1">
      <c r="B26" s="116">
        <v>25</v>
      </c>
      <c r="C26" s="117"/>
      <c r="R26" s="225" t="s">
        <v>290</v>
      </c>
      <c r="S26" s="226" t="s">
        <v>207</v>
      </c>
    </row>
    <row r="27" spans="2:19" ht="12.75" customHeight="1">
      <c r="B27" s="116">
        <v>26</v>
      </c>
      <c r="C27" s="117"/>
      <c r="R27" s="225" t="s">
        <v>291</v>
      </c>
      <c r="S27" s="226" t="s">
        <v>207</v>
      </c>
    </row>
    <row r="28" spans="2:19" ht="12.75" customHeight="1">
      <c r="B28" s="116">
        <v>27</v>
      </c>
      <c r="C28" s="117"/>
      <c r="R28" s="225" t="s">
        <v>292</v>
      </c>
      <c r="S28" s="226" t="s">
        <v>207</v>
      </c>
    </row>
    <row r="29" spans="2:19" ht="12.75" customHeight="1">
      <c r="B29" s="116">
        <v>28</v>
      </c>
      <c r="C29" s="117"/>
      <c r="R29" s="225" t="s">
        <v>293</v>
      </c>
      <c r="S29" s="226" t="s">
        <v>207</v>
      </c>
    </row>
    <row r="30" spans="2:19" ht="12.75" customHeight="1">
      <c r="B30" s="116">
        <v>29</v>
      </c>
      <c r="C30" s="117"/>
      <c r="R30" s="225" t="s">
        <v>294</v>
      </c>
      <c r="S30" s="226" t="s">
        <v>207</v>
      </c>
    </row>
    <row r="31" spans="2:19" ht="12.75" customHeight="1" thickBot="1">
      <c r="B31" s="118">
        <v>30</v>
      </c>
      <c r="C31" s="119"/>
      <c r="R31" s="225" t="s">
        <v>295</v>
      </c>
      <c r="S31" s="226" t="s">
        <v>207</v>
      </c>
    </row>
    <row r="32" spans="2:19" ht="12.75" customHeight="1">
      <c r="R32" s="225" t="s">
        <v>296</v>
      </c>
      <c r="S32" s="226" t="s">
        <v>225</v>
      </c>
    </row>
    <row r="33" spans="18:19" ht="12.75" customHeight="1">
      <c r="R33" s="225" t="s">
        <v>297</v>
      </c>
      <c r="S33" s="226" t="s">
        <v>192</v>
      </c>
    </row>
    <row r="34" spans="18:19" ht="12.75" customHeight="1">
      <c r="R34" s="225" t="s">
        <v>298</v>
      </c>
      <c r="S34" s="226">
        <v>5</v>
      </c>
    </row>
    <row r="35" spans="18:19" ht="12.75" customHeight="1">
      <c r="R35" s="225" t="s">
        <v>299</v>
      </c>
      <c r="S35" s="226" t="s">
        <v>207</v>
      </c>
    </row>
    <row r="36" spans="18:19" ht="12.75" customHeight="1">
      <c r="R36" s="225" t="s">
        <v>300</v>
      </c>
      <c r="S36" s="226" t="s">
        <v>207</v>
      </c>
    </row>
    <row r="37" spans="18:19" ht="12.75" customHeight="1">
      <c r="R37" s="225" t="s">
        <v>301</v>
      </c>
      <c r="S37" s="226">
        <v>4</v>
      </c>
    </row>
    <row r="38" spans="18:19" ht="12.75" customHeight="1">
      <c r="R38" s="225" t="s">
        <v>302</v>
      </c>
      <c r="S38" s="226">
        <v>2</v>
      </c>
    </row>
    <row r="39" spans="18:19" ht="12.75" customHeight="1">
      <c r="R39" s="225" t="s">
        <v>303</v>
      </c>
      <c r="S39" s="226">
        <v>3</v>
      </c>
    </row>
    <row r="40" spans="18:19" ht="12.75" customHeight="1">
      <c r="R40" s="225" t="s">
        <v>304</v>
      </c>
      <c r="S40" s="226" t="s">
        <v>207</v>
      </c>
    </row>
    <row r="41" spans="18:19" ht="12.75" customHeight="1">
      <c r="R41" s="225" t="s">
        <v>305</v>
      </c>
      <c r="S41" s="226">
        <v>4</v>
      </c>
    </row>
    <row r="42" spans="18:19" ht="12.75" customHeight="1">
      <c r="R42" s="225" t="s">
        <v>306</v>
      </c>
      <c r="S42" s="226" t="s">
        <v>207</v>
      </c>
    </row>
    <row r="43" spans="18:19" ht="12.75" customHeight="1">
      <c r="R43" s="225" t="s">
        <v>307</v>
      </c>
      <c r="S43" s="226">
        <v>3</v>
      </c>
    </row>
    <row r="44" spans="18:19" ht="12.75" customHeight="1">
      <c r="R44" s="225" t="s">
        <v>308</v>
      </c>
      <c r="S44" s="226">
        <v>6</v>
      </c>
    </row>
    <row r="45" spans="18:19" ht="12.75" customHeight="1">
      <c r="R45" s="225" t="s">
        <v>309</v>
      </c>
      <c r="S45" s="226" t="s">
        <v>207</v>
      </c>
    </row>
    <row r="46" spans="18:19" ht="12.75" customHeight="1">
      <c r="R46" s="225" t="s">
        <v>310</v>
      </c>
      <c r="S46" s="226" t="s">
        <v>207</v>
      </c>
    </row>
    <row r="47" spans="18:19" ht="12.75" customHeight="1">
      <c r="R47" s="225" t="s">
        <v>1</v>
      </c>
      <c r="S47" s="226" t="s">
        <v>225</v>
      </c>
    </row>
    <row r="48" spans="18:19" ht="12.75" customHeight="1">
      <c r="R48" s="225" t="s">
        <v>311</v>
      </c>
      <c r="S48" s="226">
        <v>2</v>
      </c>
    </row>
    <row r="49" spans="18:19" ht="12.75" customHeight="1">
      <c r="R49" s="225" t="s">
        <v>312</v>
      </c>
      <c r="S49" s="226">
        <v>3</v>
      </c>
    </row>
    <row r="50" spans="18:19" ht="12.75" customHeight="1">
      <c r="R50" s="225" t="s">
        <v>313</v>
      </c>
      <c r="S50" s="226" t="s">
        <v>225</v>
      </c>
    </row>
    <row r="51" spans="18:19" ht="12.75" customHeight="1">
      <c r="R51" s="225" t="s">
        <v>314</v>
      </c>
      <c r="S51" s="226">
        <v>7</v>
      </c>
    </row>
    <row r="52" spans="18:19" ht="12.75" customHeight="1">
      <c r="R52" s="225" t="s">
        <v>315</v>
      </c>
      <c r="S52" s="226">
        <v>3</v>
      </c>
    </row>
    <row r="53" spans="18:19" ht="12.75" customHeight="1">
      <c r="R53" s="225" t="s">
        <v>316</v>
      </c>
      <c r="S53" s="226" t="s">
        <v>207</v>
      </c>
    </row>
    <row r="54" spans="18:19" ht="12.75" customHeight="1">
      <c r="R54" s="225" t="s">
        <v>317</v>
      </c>
      <c r="S54" s="226">
        <v>4</v>
      </c>
    </row>
    <row r="55" spans="18:19" ht="12.75" customHeight="1">
      <c r="R55" s="225" t="s">
        <v>318</v>
      </c>
      <c r="S55" s="226" t="s">
        <v>207</v>
      </c>
    </row>
    <row r="56" spans="18:19" ht="12.75" customHeight="1">
      <c r="R56" s="225" t="s">
        <v>319</v>
      </c>
      <c r="S56" s="226">
        <v>2</v>
      </c>
    </row>
    <row r="57" spans="18:19" ht="12.75" customHeight="1">
      <c r="R57" s="225" t="s">
        <v>320</v>
      </c>
      <c r="S57" s="226">
        <v>4</v>
      </c>
    </row>
    <row r="58" spans="18:19" ht="12.75" customHeight="1">
      <c r="R58" s="225" t="s">
        <v>321</v>
      </c>
      <c r="S58" s="226">
        <v>2</v>
      </c>
    </row>
    <row r="59" spans="18:19" ht="12.75" customHeight="1">
      <c r="R59" s="225" t="s">
        <v>322</v>
      </c>
      <c r="S59" s="226" t="s">
        <v>207</v>
      </c>
    </row>
    <row r="60" spans="18:19" ht="12.75" customHeight="1">
      <c r="R60" s="225" t="s">
        <v>323</v>
      </c>
      <c r="S60" s="226" t="s">
        <v>192</v>
      </c>
    </row>
    <row r="61" spans="18:19" ht="12.75" customHeight="1">
      <c r="R61" s="225" t="s">
        <v>324</v>
      </c>
      <c r="S61" s="226">
        <v>2</v>
      </c>
    </row>
    <row r="62" spans="18:19" ht="12.75" customHeight="1">
      <c r="R62" s="225" t="s">
        <v>325</v>
      </c>
      <c r="S62" s="226">
        <v>5</v>
      </c>
    </row>
    <row r="63" spans="18:19" ht="12.75" customHeight="1">
      <c r="R63" s="225" t="s">
        <v>326</v>
      </c>
      <c r="S63" s="226" t="s">
        <v>207</v>
      </c>
    </row>
    <row r="64" spans="18:19" ht="12.75" customHeight="1">
      <c r="R64" s="225" t="s">
        <v>327</v>
      </c>
      <c r="S64" s="226" t="s">
        <v>207</v>
      </c>
    </row>
    <row r="65" spans="18:19" ht="12.75" customHeight="1">
      <c r="R65" s="225" t="s">
        <v>328</v>
      </c>
      <c r="S65" s="226" t="s">
        <v>207</v>
      </c>
    </row>
    <row r="66" spans="18:19" ht="12.75" customHeight="1">
      <c r="R66" s="225" t="s">
        <v>329</v>
      </c>
      <c r="S66" s="226" t="s">
        <v>225</v>
      </c>
    </row>
    <row r="67" spans="18:19" ht="12.75" customHeight="1">
      <c r="R67" s="225" t="s">
        <v>330</v>
      </c>
      <c r="S67" s="226" t="s">
        <v>192</v>
      </c>
    </row>
    <row r="68" spans="18:19" ht="12.75" customHeight="1">
      <c r="R68" s="225" t="s">
        <v>331</v>
      </c>
      <c r="S68" s="226" t="s">
        <v>207</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ADUlVhOtY6RJf3hehbgQtkxS4LArcnuHXFzuqNgnHMappD/Y+qFvCbISBg16X+kTiHEEW97kesOg9EWCeXYzNA==" saltValue="DJKdsJpcYFSFIs6JddXr7A=="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5617-ABBD-4F50-BEF3-C2230AE80374}">
  <sheetPr codeName="Hoja7"/>
  <dimension ref="B1:Y102"/>
  <sheetViews>
    <sheetView showGridLines="0" zoomScale="90" zoomScaleNormal="90" workbookViewId="0">
      <selection activeCell="I8" sqref="I8"/>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332</v>
      </c>
      <c r="C2" s="321"/>
      <c r="H2" s="324" t="s">
        <v>333</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334</v>
      </c>
      <c r="I4" s="282"/>
      <c r="K4" s="327" t="s">
        <v>335</v>
      </c>
      <c r="L4" s="327"/>
      <c r="M4" s="327"/>
      <c r="N4" s="328"/>
      <c r="O4" s="328"/>
      <c r="P4" s="328"/>
      <c r="Q4" s="328"/>
      <c r="R4" s="328"/>
      <c r="S4" s="330"/>
      <c r="T4" s="330"/>
      <c r="U4" s="330"/>
    </row>
    <row r="5" spans="2:25" ht="15">
      <c r="B5" s="23" t="s">
        <v>336</v>
      </c>
      <c r="C5" s="23" t="s">
        <v>152</v>
      </c>
      <c r="H5" s="309" t="s">
        <v>33</v>
      </c>
      <c r="I5" s="304" t="s">
        <v>13</v>
      </c>
      <c r="J5" s="280" t="s">
        <v>337</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338</v>
      </c>
      <c r="H6" s="287">
        <v>45672</v>
      </c>
      <c r="I6" t="s">
        <v>339</v>
      </c>
      <c r="J6" s="288" t="str">
        <f>IF(H6="","",H6&amp;"-"&amp;I6)</f>
        <v>45672-(en blanco)</v>
      </c>
      <c r="K6" s="289">
        <f>IF($H6="(en blanco)","",IF($H6="","",IFERROR(IF(VLOOKUP(H6+7,'Fechas de clase'!$B$5:$B$102,1,0),H6+14),H6+7)))</f>
        <v>45679</v>
      </c>
      <c r="L6" s="289">
        <f>IF($H6="(en blanco)","",IF($H6="","",IFERROR(IF(VLOOKUP(K6+7,'Fechas de clase'!$B$5:$B$102,1,0),K6+14),K6+7)))</f>
        <v>45686</v>
      </c>
      <c r="M6" s="289">
        <f>IF($H6="(en blanco)","",IF($H6="","",IFERROR(IF(VLOOKUP(L6+7,'Fechas de clase'!$B$5:$B$102,1,0),L6+14),L6+7)))</f>
        <v>45693</v>
      </c>
      <c r="N6" s="289">
        <f>IF($H6="(en blanco)","",IF($H6="","",IFERROR(IF(VLOOKUP(M6+7,'Fechas de clase'!$B$5:$B$102,1,0),M6+14),M6+7)))</f>
        <v>45700</v>
      </c>
      <c r="O6" s="289">
        <f>IF($H6="(en blanco)","",IF($H6="","",IFERROR(IF(VLOOKUP(N6+7,'Fechas de clase'!$B$5:$B$102,1,0),N6+14),N6+7)))</f>
        <v>45707</v>
      </c>
      <c r="P6" s="289">
        <f>IF($H6="(en blanco)","",IF($H6="","",IFERROR(IF(VLOOKUP(O6+7,'Fechas de clase'!$B$5:$B$102,1,0),O6+14),O6+7)))</f>
        <v>45714</v>
      </c>
      <c r="Q6" s="289">
        <f>IF($H6="(en blanco)","",IF($H6="","",IFERROR(IF(VLOOKUP(P6+7,'Fechas de clase'!$B$5:$B$102,1,0),P6+14),P6+7)))</f>
        <v>45721</v>
      </c>
      <c r="R6" s="289">
        <f>IF($H6="(en blanco)","",IF($H6="","",IFERROR(IF(VLOOKUP(Q6+7,'Fechas de clase'!$B$5:$B$102,1,0),Q6+14),Q6+7)))</f>
        <v>45728</v>
      </c>
      <c r="S6" s="289">
        <f>IF($H6="(en blanco)","",IF($H6="","",IFERROR(IF(VLOOKUP(R6+7,'Fechas de clase'!$B$5:$B$102,1,0),R6+14),R6+7)))</f>
        <v>45735</v>
      </c>
      <c r="T6" s="289">
        <f>IF($H6="(en blanco)","",IF($H6="","",IFERROR(IF(VLOOKUP(S6+7,'Fechas de clase'!$B$5:$B$102,1,0),S6+14),S6+7)))</f>
        <v>45742</v>
      </c>
      <c r="U6" s="289">
        <f>IF($H6="(en blanco)","",IF($H6="","",IFERROR(IF(VLOOKUP(T6+7,'Fechas de clase'!$B$5:$B$102,1,0),T6+14),T6+7)))</f>
        <v>45749</v>
      </c>
      <c r="V6" s="289">
        <f>IF($H6="(en blanco)","",IF($H6="","",IFERROR(IF(VLOOKUP(U6+7,'Fechas de clase'!$B$5:$B$102,1,0),U6+14),U6+7)))</f>
        <v>45756</v>
      </c>
      <c r="W6" s="289">
        <f>IF($H6="(en blanco)","",IF($H6="","",IFERROR(IF(VLOOKUP(V6+7,'Fechas de clase'!$B$5:$B$102,1,0),V6+14),V6+7)))</f>
        <v>45763</v>
      </c>
      <c r="X6" s="289">
        <f>IF($H6="(en blanco)","",IF($H6="","",IFERROR(IF(VLOOKUP(W6+7,'Fechas de clase'!$B$5:$B$102,1,0),W6+14),W6+7)))</f>
        <v>45770</v>
      </c>
      <c r="Y6" s="289">
        <f>IF($H6="(en blanco)","",IF($H6="","",IFERROR(IF(VLOOKUP(X6+7,'Fechas de clase'!$B$5:$B$102,1,0),X6+14),X6+7)))</f>
        <v>45777</v>
      </c>
    </row>
    <row r="7" spans="2:25" ht="15">
      <c r="B7" s="285">
        <v>45764</v>
      </c>
      <c r="C7" s="286" t="s">
        <v>340</v>
      </c>
      <c r="H7" s="287">
        <v>45673</v>
      </c>
      <c r="I7" t="s">
        <v>339</v>
      </c>
      <c r="J7" s="288" t="str">
        <f t="shared" ref="J7:J70" si="0">IF(H7="","",H7&amp;"-"&amp;I7)</f>
        <v>45673-(en blanco)</v>
      </c>
      <c r="K7" s="289">
        <f>IF($H7="(en blanco)","",IF($H7="","",IFERROR(IF(VLOOKUP(H7+7,'Fechas de clase'!$B$5:$B$102,1,0),H7+14),H7+7)))</f>
        <v>45680</v>
      </c>
      <c r="L7" s="289">
        <f>IF($H7="(en blanco)","",IF($H7="","",IFERROR(IF(VLOOKUP(K7+7,'Fechas de clase'!$B$5:$B$102,1,0),K7+14),K7+7)))</f>
        <v>45687</v>
      </c>
      <c r="M7" s="289">
        <f>IF($H7="(en blanco)","",IF($H7="","",IFERROR(IF(VLOOKUP(L7+7,'Fechas de clase'!$B$5:$B$102,1,0),L7+14),L7+7)))</f>
        <v>45694</v>
      </c>
      <c r="N7" s="289">
        <f>IF($H7="(en blanco)","",IF($H7="","",IFERROR(IF(VLOOKUP(M7+7,'Fechas de clase'!$B$5:$B$102,1,0),M7+14),M7+7)))</f>
        <v>45701</v>
      </c>
      <c r="O7" s="289">
        <f>IF($H7="(en blanco)","",IF($H7="","",IFERROR(IF(VLOOKUP(N7+7,'Fechas de clase'!$B$5:$B$102,1,0),N7+14),N7+7)))</f>
        <v>45708</v>
      </c>
      <c r="P7" s="289">
        <f>IF($H7="(en blanco)","",IF($H7="","",IFERROR(IF(VLOOKUP(O7+7,'Fechas de clase'!$B$5:$B$102,1,0),O7+14),O7+7)))</f>
        <v>45715</v>
      </c>
      <c r="Q7" s="289">
        <f>IF($H7="(en blanco)","",IF($H7="","",IFERROR(IF(VLOOKUP(P7+7,'Fechas de clase'!$B$5:$B$102,1,0),P7+14),P7+7)))</f>
        <v>45722</v>
      </c>
      <c r="R7" s="289">
        <f>IF($H7="(en blanco)","",IF($H7="","",IFERROR(IF(VLOOKUP(Q7+7,'Fechas de clase'!$B$5:$B$102,1,0),Q7+14),Q7+7)))</f>
        <v>45729</v>
      </c>
      <c r="S7" s="289">
        <f>IF($H7="(en blanco)","",IF($H7="","",IFERROR(IF(VLOOKUP(R7+7,'Fechas de clase'!$B$5:$B$102,1,0),R7+14),R7+7)))</f>
        <v>45736</v>
      </c>
      <c r="T7" s="289">
        <f>IF($H7="(en blanco)","",IF($H7="","",IFERROR(IF(VLOOKUP(S7+7,'Fechas de clase'!$B$5:$B$102,1,0),S7+14),S7+7)))</f>
        <v>45743</v>
      </c>
      <c r="U7" s="289">
        <f>IF($H7="(en blanco)","",IF($H7="","",IFERROR(IF(VLOOKUP(T7+7,'Fechas de clase'!$B$5:$B$102,1,0),T7+14),T7+7)))</f>
        <v>45750</v>
      </c>
      <c r="V7" s="289">
        <f>IF($H7="(en blanco)","",IF($H7="","",IFERROR(IF(VLOOKUP(U7+7,'Fechas de clase'!$B$5:$B$102,1,0),U7+14),U7+7)))</f>
        <v>45757</v>
      </c>
      <c r="W7" s="289">
        <f>IF($H7="(en blanco)","",IF($H7="","",IFERROR(IF(VLOOKUP(V7+7,'Fechas de clase'!$B$5:$B$102,1,0),V7+14),V7+7)))</f>
        <v>45771</v>
      </c>
      <c r="X7" s="289">
        <f>IF($H7="(en blanco)","",IF($H7="","",IFERROR(IF(VLOOKUP(W7+7,'Fechas de clase'!$B$5:$B$102,1,0),W7+14),W7+7)))</f>
        <v>45785</v>
      </c>
      <c r="Y7" s="289">
        <f>IF($H7="(en blanco)","",IF($H7="","",IFERROR(IF(VLOOKUP(X7+7,'Fechas de clase'!$B$5:$B$102,1,0),X7+14),X7+7)))</f>
        <v>45792</v>
      </c>
    </row>
    <row r="8" spans="2:25" ht="15">
      <c r="B8" s="285">
        <v>45765</v>
      </c>
      <c r="C8" s="286" t="s">
        <v>341</v>
      </c>
      <c r="H8" s="287">
        <v>45674</v>
      </c>
      <c r="I8" t="s">
        <v>339</v>
      </c>
      <c r="J8" s="288" t="str">
        <f t="shared" si="0"/>
        <v>45674-(en blanco)</v>
      </c>
      <c r="K8" s="289">
        <f>IF($H8="(en blanco)","",IF($H8="","",IFERROR(IF(VLOOKUP(H8+7,'Fechas de clase'!$B$5:$B$102,1,0),H8+14),H8+7)))</f>
        <v>45681</v>
      </c>
      <c r="L8" s="289">
        <f>IF($H8="(en blanco)","",IF($H8="","",IFERROR(IF(VLOOKUP(K8+7,'Fechas de clase'!$B$5:$B$102,1,0),K8+14),K8+7)))</f>
        <v>45688</v>
      </c>
      <c r="M8" s="289">
        <f>IF($H8="(en blanco)","",IF($H8="","",IFERROR(IF(VLOOKUP(L8+7,'Fechas de clase'!$B$5:$B$102,1,0),L8+14),L8+7)))</f>
        <v>45695</v>
      </c>
      <c r="N8" s="289">
        <f>IF($H8="(en blanco)","",IF($H8="","",IFERROR(IF(VLOOKUP(M8+7,'Fechas de clase'!$B$5:$B$102,1,0),M8+14),M8+7)))</f>
        <v>45702</v>
      </c>
      <c r="O8" s="289">
        <f>IF($H8="(en blanco)","",IF($H8="","",IFERROR(IF(VLOOKUP(N8+7,'Fechas de clase'!$B$5:$B$102,1,0),N8+14),N8+7)))</f>
        <v>45709</v>
      </c>
      <c r="P8" s="289">
        <f>IF($H8="(en blanco)","",IF($H8="","",IFERROR(IF(VLOOKUP(O8+7,'Fechas de clase'!$B$5:$B$102,1,0),O8+14),O8+7)))</f>
        <v>45716</v>
      </c>
      <c r="Q8" s="289">
        <f>IF($H8="(en blanco)","",IF($H8="","",IFERROR(IF(VLOOKUP(P8+7,'Fechas de clase'!$B$5:$B$102,1,0),P8+14),P8+7)))</f>
        <v>45723</v>
      </c>
      <c r="R8" s="289">
        <f>IF($H8="(en blanco)","",IF($H8="","",IFERROR(IF(VLOOKUP(Q8+7,'Fechas de clase'!$B$5:$B$102,1,0),Q8+14),Q8+7)))</f>
        <v>45730</v>
      </c>
      <c r="S8" s="289">
        <f>IF($H8="(en blanco)","",IF($H8="","",IFERROR(IF(VLOOKUP(R8+7,'Fechas de clase'!$B$5:$B$102,1,0),R8+14),R8+7)))</f>
        <v>45737</v>
      </c>
      <c r="T8" s="289">
        <f>IF($H8="(en blanco)","",IF($H8="","",IFERROR(IF(VLOOKUP(S8+7,'Fechas de clase'!$B$5:$B$102,1,0),S8+14),S8+7)))</f>
        <v>45744</v>
      </c>
      <c r="U8" s="289">
        <f>IF($H8="(en blanco)","",IF($H8="","",IFERROR(IF(VLOOKUP(T8+7,'Fechas de clase'!$B$5:$B$102,1,0),T8+14),T8+7)))</f>
        <v>45751</v>
      </c>
      <c r="V8" s="289">
        <f>IF($H8="(en blanco)","",IF($H8="","",IFERROR(IF(VLOOKUP(U8+7,'Fechas de clase'!$B$5:$B$102,1,0),U8+14),U8+7)))</f>
        <v>45758</v>
      </c>
      <c r="W8" s="289">
        <f>IF($H8="(en blanco)","",IF($H8="","",IFERROR(IF(VLOOKUP(V8+7,'Fechas de clase'!$B$5:$B$102,1,0),V8+14),V8+7)))</f>
        <v>45772</v>
      </c>
      <c r="X8" s="289">
        <f>IF($H8="(en blanco)","",IF($H8="","",IFERROR(IF(VLOOKUP(W8+7,'Fechas de clase'!$B$5:$B$102,1,0),W8+14),W8+7)))</f>
        <v>45779</v>
      </c>
      <c r="Y8" s="289">
        <f>IF($H8="(en blanco)","",IF($H8="","",IFERROR(IF(VLOOKUP(X8+7,'Fechas de clase'!$B$5:$B$102,1,0),X8+14),X8+7)))</f>
        <v>45786</v>
      </c>
    </row>
    <row r="9" spans="2:25" ht="15">
      <c r="B9" s="285">
        <v>45778</v>
      </c>
      <c r="C9" s="286" t="s">
        <v>342</v>
      </c>
      <c r="H9" s="287">
        <v>45675</v>
      </c>
      <c r="I9" t="s">
        <v>339</v>
      </c>
      <c r="J9" s="288" t="str">
        <f t="shared" si="0"/>
        <v>45675-(en blanco)</v>
      </c>
      <c r="K9" s="289">
        <f>IF($H9="(en blanco)","",IF($H9="","",IFERROR(IF(VLOOKUP(H9+7,'Fechas de clase'!$B$5:$B$102,1,0),H9+14),H9+7)))</f>
        <v>45682</v>
      </c>
      <c r="L9" s="289">
        <f>IF($H9="(en blanco)","",IF($H9="","",IFERROR(IF(VLOOKUP(K9+7,'Fechas de clase'!$B$5:$B$102,1,0),K9+14),K9+7)))</f>
        <v>45689</v>
      </c>
      <c r="M9" s="289">
        <f>IF($H9="(en blanco)","",IF($H9="","",IFERROR(IF(VLOOKUP(L9+7,'Fechas de clase'!$B$5:$B$102,1,0),L9+14),L9+7)))</f>
        <v>45696</v>
      </c>
      <c r="N9" s="289">
        <f>IF($H9="(en blanco)","",IF($H9="","",IFERROR(IF(VLOOKUP(M9+7,'Fechas de clase'!$B$5:$B$102,1,0),M9+14),M9+7)))</f>
        <v>45703</v>
      </c>
      <c r="O9" s="289">
        <f>IF($H9="(en blanco)","",IF($H9="","",IFERROR(IF(VLOOKUP(N9+7,'Fechas de clase'!$B$5:$B$102,1,0),N9+14),N9+7)))</f>
        <v>45710</v>
      </c>
      <c r="P9" s="289">
        <f>IF($H9="(en blanco)","",IF($H9="","",IFERROR(IF(VLOOKUP(O9+7,'Fechas de clase'!$B$5:$B$102,1,0),O9+14),O9+7)))</f>
        <v>45717</v>
      </c>
      <c r="Q9" s="289">
        <f>IF($H9="(en blanco)","",IF($H9="","",IFERROR(IF(VLOOKUP(P9+7,'Fechas de clase'!$B$5:$B$102,1,0),P9+14),P9+7)))</f>
        <v>45724</v>
      </c>
      <c r="R9" s="289">
        <f>IF($H9="(en blanco)","",IF($H9="","",IFERROR(IF(VLOOKUP(Q9+7,'Fechas de clase'!$B$5:$B$102,1,0),Q9+14),Q9+7)))</f>
        <v>45731</v>
      </c>
      <c r="S9" s="289">
        <f>IF($H9="(en blanco)","",IF($H9="","",IFERROR(IF(VLOOKUP(R9+7,'Fechas de clase'!$B$5:$B$102,1,0),R9+14),R9+7)))</f>
        <v>45738</v>
      </c>
      <c r="T9" s="289">
        <f>IF($H9="(en blanco)","",IF($H9="","",IFERROR(IF(VLOOKUP(S9+7,'Fechas de clase'!$B$5:$B$102,1,0),S9+14),S9+7)))</f>
        <v>45745</v>
      </c>
      <c r="U9" s="289">
        <f>IF($H9="(en blanco)","",IF($H9="","",IFERROR(IF(VLOOKUP(T9+7,'Fechas de clase'!$B$5:$B$102,1,0),T9+14),T9+7)))</f>
        <v>45752</v>
      </c>
      <c r="V9" s="289">
        <f>IF($H9="(en blanco)","",IF($H9="","",IFERROR(IF(VLOOKUP(U9+7,'Fechas de clase'!$B$5:$B$102,1,0),U9+14),U9+7)))</f>
        <v>45759</v>
      </c>
      <c r="W9" s="289">
        <f>IF($H9="(en blanco)","",IF($H9="","",IFERROR(IF(VLOOKUP(V9+7,'Fechas de clase'!$B$5:$B$102,1,0),V9+14),V9+7)))</f>
        <v>45766</v>
      </c>
      <c r="X9" s="289">
        <f>IF($H9="(en blanco)","",IF($H9="","",IFERROR(IF(VLOOKUP(W9+7,'Fechas de clase'!$B$5:$B$102,1,0),W9+14),W9+7)))</f>
        <v>45773</v>
      </c>
      <c r="Y9" s="289">
        <f>IF($H9="(en blanco)","",IF($H9="","",IFERROR(IF(VLOOKUP(X9+7,'Fechas de clase'!$B$5:$B$102,1,0),X9+14),X9+7)))</f>
        <v>45780</v>
      </c>
    </row>
    <row r="10" spans="2:25" ht="15">
      <c r="B10" s="285">
        <v>45815</v>
      </c>
      <c r="C10" s="286" t="s">
        <v>343</v>
      </c>
      <c r="H10" s="287">
        <v>45708</v>
      </c>
      <c r="I10" t="s">
        <v>339</v>
      </c>
      <c r="J10" s="288" t="str">
        <f t="shared" si="0"/>
        <v>45708-(en blanco)</v>
      </c>
      <c r="K10" s="289">
        <f>IF($H10="(en blanco)","",IF($H10="","",IFERROR(IF(VLOOKUP(H10+7,'Fechas de clase'!$B$5:$B$102,1,0),H10+14),H10+7)))</f>
        <v>45715</v>
      </c>
      <c r="L10" s="289">
        <f>IF($H10="(en blanco)","",IF($H10="","",IFERROR(IF(VLOOKUP(K10+7,'Fechas de clase'!$B$5:$B$102,1,0),K10+14),K10+7)))</f>
        <v>45722</v>
      </c>
      <c r="M10" s="289">
        <f>IF($H10="(en blanco)","",IF($H10="","",IFERROR(IF(VLOOKUP(L10+7,'Fechas de clase'!$B$5:$B$102,1,0),L10+14),L10+7)))</f>
        <v>45729</v>
      </c>
      <c r="N10" s="289">
        <f>IF($H10="(en blanco)","",IF($H10="","",IFERROR(IF(VLOOKUP(M10+7,'Fechas de clase'!$B$5:$B$102,1,0),M10+14),M10+7)))</f>
        <v>45736</v>
      </c>
      <c r="O10" s="289">
        <f>IF($H10="(en blanco)","",IF($H10="","",IFERROR(IF(VLOOKUP(N10+7,'Fechas de clase'!$B$5:$B$102,1,0),N10+14),N10+7)))</f>
        <v>45743</v>
      </c>
      <c r="P10" s="289">
        <f>IF($H10="(en blanco)","",IF($H10="","",IFERROR(IF(VLOOKUP(O10+7,'Fechas de clase'!$B$5:$B$102,1,0),O10+14),O10+7)))</f>
        <v>45750</v>
      </c>
      <c r="Q10" s="289">
        <f>IF($H10="(en blanco)","",IF($H10="","",IFERROR(IF(VLOOKUP(P10+7,'Fechas de clase'!$B$5:$B$102,1,0),P10+14),P10+7)))</f>
        <v>45757</v>
      </c>
      <c r="R10" s="289">
        <f>IF($H10="(en blanco)","",IF($H10="","",IFERROR(IF(VLOOKUP(Q10+7,'Fechas de clase'!$B$5:$B$102,1,0),Q10+14),Q10+7)))</f>
        <v>45771</v>
      </c>
      <c r="S10" s="289">
        <f>IF($H10="(en blanco)","",IF($H10="","",IFERROR(IF(VLOOKUP(R10+7,'Fechas de clase'!$B$5:$B$102,1,0),R10+14),R10+7)))</f>
        <v>45785</v>
      </c>
      <c r="T10" s="289">
        <f>IF($H10="(en blanco)","",IF($H10="","",IFERROR(IF(VLOOKUP(S10+7,'Fechas de clase'!$B$5:$B$102,1,0),S10+14),S10+7)))</f>
        <v>45792</v>
      </c>
      <c r="U10" s="289">
        <f>IF($H10="(en blanco)","",IF($H10="","",IFERROR(IF(VLOOKUP(T10+7,'Fechas de clase'!$B$5:$B$102,1,0),T10+14),T10+7)))</f>
        <v>45799</v>
      </c>
      <c r="V10" s="289">
        <f>IF($H10="(en blanco)","",IF($H10="","",IFERROR(IF(VLOOKUP(U10+7,'Fechas de clase'!$B$5:$B$102,1,0),U10+14),U10+7)))</f>
        <v>45806</v>
      </c>
      <c r="W10" s="289">
        <f>IF($H10="(en blanco)","",IF($H10="","",IFERROR(IF(VLOOKUP(V10+7,'Fechas de clase'!$B$5:$B$102,1,0),V10+14),V10+7)))</f>
        <v>45813</v>
      </c>
      <c r="X10" s="289">
        <f>IF($H10="(en blanco)","",IF($H10="","",IFERROR(IF(VLOOKUP(W10+7,'Fechas de clase'!$B$5:$B$102,1,0),W10+14),W10+7)))</f>
        <v>45820</v>
      </c>
      <c r="Y10" s="289">
        <f>IF($H10="(en blanco)","",IF($H10="","",IFERROR(IF(VLOOKUP(X10+7,'Fechas de clase'!$B$5:$B$102,1,0),X10+14),X10+7)))</f>
        <v>45827</v>
      </c>
    </row>
    <row r="11" spans="2:25" ht="15">
      <c r="B11" s="285">
        <v>45837</v>
      </c>
      <c r="C11" s="286" t="s">
        <v>344</v>
      </c>
      <c r="H11" s="287">
        <v>45709</v>
      </c>
      <c r="I11" t="s">
        <v>339</v>
      </c>
      <c r="J11" s="288" t="str">
        <f t="shared" si="0"/>
        <v>45709-(en blanco)</v>
      </c>
      <c r="K11" s="289">
        <f>IF($H11="(en blanco)","",IF($H11="","",IFERROR(IF(VLOOKUP(H11+7,'Fechas de clase'!$B$5:$B$102,1,0),H11+14),H11+7)))</f>
        <v>45716</v>
      </c>
      <c r="L11" s="289">
        <f>IF($H11="(en blanco)","",IF($H11="","",IFERROR(IF(VLOOKUP(K11+7,'Fechas de clase'!$B$5:$B$102,1,0),K11+14),K11+7)))</f>
        <v>45723</v>
      </c>
      <c r="M11" s="289">
        <f>IF($H11="(en blanco)","",IF($H11="","",IFERROR(IF(VLOOKUP(L11+7,'Fechas de clase'!$B$5:$B$102,1,0),L11+14),L11+7)))</f>
        <v>45730</v>
      </c>
      <c r="N11" s="289">
        <f>IF($H11="(en blanco)","",IF($H11="","",IFERROR(IF(VLOOKUP(M11+7,'Fechas de clase'!$B$5:$B$102,1,0),M11+14),M11+7)))</f>
        <v>45737</v>
      </c>
      <c r="O11" s="289">
        <f>IF($H11="(en blanco)","",IF($H11="","",IFERROR(IF(VLOOKUP(N11+7,'Fechas de clase'!$B$5:$B$102,1,0),N11+14),N11+7)))</f>
        <v>45744</v>
      </c>
      <c r="P11" s="289">
        <f>IF($H11="(en blanco)","",IF($H11="","",IFERROR(IF(VLOOKUP(O11+7,'Fechas de clase'!$B$5:$B$102,1,0),O11+14),O11+7)))</f>
        <v>45751</v>
      </c>
      <c r="Q11" s="289">
        <f>IF($H11="(en blanco)","",IF($H11="","",IFERROR(IF(VLOOKUP(P11+7,'Fechas de clase'!$B$5:$B$102,1,0),P11+14),P11+7)))</f>
        <v>45758</v>
      </c>
      <c r="R11" s="289">
        <f>IF($H11="(en blanco)","",IF($H11="","",IFERROR(IF(VLOOKUP(Q11+7,'Fechas de clase'!$B$5:$B$102,1,0),Q11+14),Q11+7)))</f>
        <v>45772</v>
      </c>
      <c r="S11" s="289">
        <f>IF($H11="(en blanco)","",IF($H11="","",IFERROR(IF(VLOOKUP(R11+7,'Fechas de clase'!$B$5:$B$102,1,0),R11+14),R11+7)))</f>
        <v>45779</v>
      </c>
      <c r="T11" s="289">
        <f>IF($H11="(en blanco)","",IF($H11="","",IFERROR(IF(VLOOKUP(S11+7,'Fechas de clase'!$B$5:$B$102,1,0),S11+14),S11+7)))</f>
        <v>45786</v>
      </c>
      <c r="U11" s="289">
        <f>IF($H11="(en blanco)","",IF($H11="","",IFERROR(IF(VLOOKUP(T11+7,'Fechas de clase'!$B$5:$B$102,1,0),T11+14),T11+7)))</f>
        <v>45793</v>
      </c>
      <c r="V11" s="289">
        <f>IF($H11="(en blanco)","",IF($H11="","",IFERROR(IF(VLOOKUP(U11+7,'Fechas de clase'!$B$5:$B$102,1,0),U11+14),U11+7)))</f>
        <v>45800</v>
      </c>
      <c r="W11" s="289">
        <f>IF($H11="(en blanco)","",IF($H11="","",IFERROR(IF(VLOOKUP(V11+7,'Fechas de clase'!$B$5:$B$102,1,0),V11+14),V11+7)))</f>
        <v>45807</v>
      </c>
      <c r="X11" s="289">
        <f>IF($H11="(en blanco)","",IF($H11="","",IFERROR(IF(VLOOKUP(W11+7,'Fechas de clase'!$B$5:$B$102,1,0),W11+14),W11+7)))</f>
        <v>45814</v>
      </c>
      <c r="Y11" s="289">
        <f>IF($H11="(en blanco)","",IF($H11="","",IFERROR(IF(VLOOKUP(X11+7,'Fechas de clase'!$B$5:$B$102,1,0),X11+14),X11+7)))</f>
        <v>45821</v>
      </c>
    </row>
    <row r="12" spans="2:25" ht="15">
      <c r="B12" s="285">
        <v>45861</v>
      </c>
      <c r="C12" s="286" t="s">
        <v>345</v>
      </c>
      <c r="H12" s="287">
        <v>45710</v>
      </c>
      <c r="I12" t="s">
        <v>339</v>
      </c>
      <c r="J12" s="288" t="str">
        <f t="shared" si="0"/>
        <v>45710-(en blanco)</v>
      </c>
      <c r="K12" s="289">
        <f>IF($H12="(en blanco)","",IF($H12="","",IFERROR(IF(VLOOKUP(H12+7,'Fechas de clase'!$B$5:$B$102,1,0),H12+14),H12+7)))</f>
        <v>45717</v>
      </c>
      <c r="L12" s="289">
        <f>IF($H12="(en blanco)","",IF($H12="","",IFERROR(IF(VLOOKUP(K12+7,'Fechas de clase'!$B$5:$B$102,1,0),K12+14),K12+7)))</f>
        <v>45724</v>
      </c>
      <c r="M12" s="289">
        <f>IF($H12="(en blanco)","",IF($H12="","",IFERROR(IF(VLOOKUP(L12+7,'Fechas de clase'!$B$5:$B$102,1,0),L12+14),L12+7)))</f>
        <v>45731</v>
      </c>
      <c r="N12" s="289">
        <f>IF($H12="(en blanco)","",IF($H12="","",IFERROR(IF(VLOOKUP(M12+7,'Fechas de clase'!$B$5:$B$102,1,0),M12+14),M12+7)))</f>
        <v>45738</v>
      </c>
      <c r="O12" s="289">
        <f>IF($H12="(en blanco)","",IF($H12="","",IFERROR(IF(VLOOKUP(N12+7,'Fechas de clase'!$B$5:$B$102,1,0),N12+14),N12+7)))</f>
        <v>45745</v>
      </c>
      <c r="P12" s="289">
        <f>IF($H12="(en blanco)","",IF($H12="","",IFERROR(IF(VLOOKUP(O12+7,'Fechas de clase'!$B$5:$B$102,1,0),O12+14),O12+7)))</f>
        <v>45752</v>
      </c>
      <c r="Q12" s="289">
        <f>IF($H12="(en blanco)","",IF($H12="","",IFERROR(IF(VLOOKUP(P12+7,'Fechas de clase'!$B$5:$B$102,1,0),P12+14),P12+7)))</f>
        <v>45759</v>
      </c>
      <c r="R12" s="289">
        <f>IF($H12="(en blanco)","",IF($H12="","",IFERROR(IF(VLOOKUP(Q12+7,'Fechas de clase'!$B$5:$B$102,1,0),Q12+14),Q12+7)))</f>
        <v>45766</v>
      </c>
      <c r="S12" s="289">
        <f>IF($H12="(en blanco)","",IF($H12="","",IFERROR(IF(VLOOKUP(R12+7,'Fechas de clase'!$B$5:$B$102,1,0),R12+14),R12+7)))</f>
        <v>45773</v>
      </c>
      <c r="T12" s="289">
        <f>IF($H12="(en blanco)","",IF($H12="","",IFERROR(IF(VLOOKUP(S12+7,'Fechas de clase'!$B$5:$B$102,1,0),S12+14),S12+7)))</f>
        <v>45780</v>
      </c>
      <c r="U12" s="289">
        <f>IF($H12="(en blanco)","",IF($H12="","",IFERROR(IF(VLOOKUP(T12+7,'Fechas de clase'!$B$5:$B$102,1,0),T12+14),T12+7)))</f>
        <v>45787</v>
      </c>
      <c r="V12" s="289">
        <f>IF($H12="(en blanco)","",IF($H12="","",IFERROR(IF(VLOOKUP(U12+7,'Fechas de clase'!$B$5:$B$102,1,0),U12+14),U12+7)))</f>
        <v>45794</v>
      </c>
      <c r="W12" s="289">
        <f>IF($H12="(en blanco)","",IF($H12="","",IFERROR(IF(VLOOKUP(V12+7,'Fechas de clase'!$B$5:$B$102,1,0),V12+14),V12+7)))</f>
        <v>45801</v>
      </c>
      <c r="X12" s="289">
        <f>IF($H12="(en blanco)","",IF($H12="","",IFERROR(IF(VLOOKUP(W12+7,'Fechas de clase'!$B$5:$B$102,1,0),W12+14),W12+7)))</f>
        <v>45808</v>
      </c>
      <c r="Y12" s="289">
        <f>IF($H12="(en blanco)","",IF($H12="","",IFERROR(IF(VLOOKUP(X12+7,'Fechas de clase'!$B$5:$B$102,1,0),X12+14),X12+7)))</f>
        <v>45822</v>
      </c>
    </row>
    <row r="13" spans="2:25" ht="15">
      <c r="B13" s="285">
        <v>45866</v>
      </c>
      <c r="C13" s="286" t="s">
        <v>346</v>
      </c>
      <c r="H13" s="287">
        <v>45711</v>
      </c>
      <c r="I13" t="s">
        <v>339</v>
      </c>
      <c r="J13" s="288" t="str">
        <f t="shared" si="0"/>
        <v>45711-(en blanco)</v>
      </c>
      <c r="K13" s="289">
        <f>IF($H13="(en blanco)","",IF($H13="","",IFERROR(IF(VLOOKUP(H13+7,'Fechas de clase'!$B$5:$B$102,1,0),H13+14),H13+7)))</f>
        <v>45718</v>
      </c>
      <c r="L13" s="289">
        <f>IF($H13="(en blanco)","",IF($H13="","",IFERROR(IF(VLOOKUP(K13+7,'Fechas de clase'!$B$5:$B$102,1,0),K13+14),K13+7)))</f>
        <v>45725</v>
      </c>
      <c r="M13" s="289">
        <f>IF($H13="(en blanco)","",IF($H13="","",IFERROR(IF(VLOOKUP(L13+7,'Fechas de clase'!$B$5:$B$102,1,0),L13+14),L13+7)))</f>
        <v>45732</v>
      </c>
      <c r="N13" s="289">
        <f>IF($H13="(en blanco)","",IF($H13="","",IFERROR(IF(VLOOKUP(M13+7,'Fechas de clase'!$B$5:$B$102,1,0),M13+14),M13+7)))</f>
        <v>45739</v>
      </c>
      <c r="O13" s="289">
        <f>IF($H13="(en blanco)","",IF($H13="","",IFERROR(IF(VLOOKUP(N13+7,'Fechas de clase'!$B$5:$B$102,1,0),N13+14),N13+7)))</f>
        <v>45746</v>
      </c>
      <c r="P13" s="289">
        <f>IF($H13="(en blanco)","",IF($H13="","",IFERROR(IF(VLOOKUP(O13+7,'Fechas de clase'!$B$5:$B$102,1,0),O13+14),O13+7)))</f>
        <v>45753</v>
      </c>
      <c r="Q13" s="289">
        <f>IF($H13="(en blanco)","",IF($H13="","",IFERROR(IF(VLOOKUP(P13+7,'Fechas de clase'!$B$5:$B$102,1,0),P13+14),P13+7)))</f>
        <v>45760</v>
      </c>
      <c r="R13" s="289">
        <f>IF($H13="(en blanco)","",IF($H13="","",IFERROR(IF(VLOOKUP(Q13+7,'Fechas de clase'!$B$5:$B$102,1,0),Q13+14),Q13+7)))</f>
        <v>45767</v>
      </c>
      <c r="S13" s="289">
        <f>IF($H13="(en blanco)","",IF($H13="","",IFERROR(IF(VLOOKUP(R13+7,'Fechas de clase'!$B$5:$B$102,1,0),R13+14),R13+7)))</f>
        <v>45774</v>
      </c>
      <c r="T13" s="289">
        <f>IF($H13="(en blanco)","",IF($H13="","",IFERROR(IF(VLOOKUP(S13+7,'Fechas de clase'!$B$5:$B$102,1,0),S13+14),S13+7)))</f>
        <v>45781</v>
      </c>
      <c r="U13" s="289">
        <f>IF($H13="(en blanco)","",IF($H13="","",IFERROR(IF(VLOOKUP(T13+7,'Fechas de clase'!$B$5:$B$102,1,0),T13+14),T13+7)))</f>
        <v>45788</v>
      </c>
      <c r="V13" s="289">
        <f>IF($H13="(en blanco)","",IF($H13="","",IFERROR(IF(VLOOKUP(U13+7,'Fechas de clase'!$B$5:$B$102,1,0),U13+14),U13+7)))</f>
        <v>45795</v>
      </c>
      <c r="W13" s="289">
        <f>IF($H13="(en blanco)","",IF($H13="","",IFERROR(IF(VLOOKUP(V13+7,'Fechas de clase'!$B$5:$B$102,1,0),V13+14),V13+7)))</f>
        <v>45802</v>
      </c>
      <c r="X13" s="289">
        <f>IF($H13="(en blanco)","",IF($H13="","",IFERROR(IF(VLOOKUP(W13+7,'Fechas de clase'!$B$5:$B$102,1,0),W13+14),W13+7)))</f>
        <v>45809</v>
      </c>
      <c r="Y13" s="289">
        <f>IF($H13="(en blanco)","",IF($H13="","",IFERROR(IF(VLOOKUP(X13+7,'Fechas de clase'!$B$5:$B$102,1,0),X13+14),X13+7)))</f>
        <v>45816</v>
      </c>
    </row>
    <row r="14" spans="2:25" ht="15">
      <c r="B14" s="285">
        <v>45867</v>
      </c>
      <c r="C14" s="286" t="s">
        <v>347</v>
      </c>
      <c r="H14" s="287">
        <v>45712</v>
      </c>
      <c r="I14" t="s">
        <v>339</v>
      </c>
      <c r="J14" s="288" t="str">
        <f t="shared" si="0"/>
        <v>45712-(en blanco)</v>
      </c>
      <c r="K14" s="289">
        <f>IF($H14="(en blanco)","",IF($H14="","",IFERROR(IF(VLOOKUP(H14+7,'Fechas de clase'!$B$5:$B$102,1,0),H14+14),H14+7)))</f>
        <v>45719</v>
      </c>
      <c r="L14" s="289">
        <f>IF($H14="(en blanco)","",IF($H14="","",IFERROR(IF(VLOOKUP(K14+7,'Fechas de clase'!$B$5:$B$102,1,0),K14+14),K14+7)))</f>
        <v>45726</v>
      </c>
      <c r="M14" s="289">
        <f>IF($H14="(en blanco)","",IF($H14="","",IFERROR(IF(VLOOKUP(L14+7,'Fechas de clase'!$B$5:$B$102,1,0),L14+14),L14+7)))</f>
        <v>45733</v>
      </c>
      <c r="N14" s="289">
        <f>IF($H14="(en blanco)","",IF($H14="","",IFERROR(IF(VLOOKUP(M14+7,'Fechas de clase'!$B$5:$B$102,1,0),M14+14),M14+7)))</f>
        <v>45740</v>
      </c>
      <c r="O14" s="289">
        <f>IF($H14="(en blanco)","",IF($H14="","",IFERROR(IF(VLOOKUP(N14+7,'Fechas de clase'!$B$5:$B$102,1,0),N14+14),N14+7)))</f>
        <v>45747</v>
      </c>
      <c r="P14" s="289">
        <f>IF($H14="(en blanco)","",IF($H14="","",IFERROR(IF(VLOOKUP(O14+7,'Fechas de clase'!$B$5:$B$102,1,0),O14+14),O14+7)))</f>
        <v>45754</v>
      </c>
      <c r="Q14" s="289">
        <f>IF($H14="(en blanco)","",IF($H14="","",IFERROR(IF(VLOOKUP(P14+7,'Fechas de clase'!$B$5:$B$102,1,0),P14+14),P14+7)))</f>
        <v>45761</v>
      </c>
      <c r="R14" s="289">
        <f>IF($H14="(en blanco)","",IF($H14="","",IFERROR(IF(VLOOKUP(Q14+7,'Fechas de clase'!$B$5:$B$102,1,0),Q14+14),Q14+7)))</f>
        <v>45768</v>
      </c>
      <c r="S14" s="289">
        <f>IF($H14="(en blanco)","",IF($H14="","",IFERROR(IF(VLOOKUP(R14+7,'Fechas de clase'!$B$5:$B$102,1,0),R14+14),R14+7)))</f>
        <v>45775</v>
      </c>
      <c r="T14" s="289">
        <f>IF($H14="(en blanco)","",IF($H14="","",IFERROR(IF(VLOOKUP(S14+7,'Fechas de clase'!$B$5:$B$102,1,0),S14+14),S14+7)))</f>
        <v>45782</v>
      </c>
      <c r="U14" s="289">
        <f>IF($H14="(en blanco)","",IF($H14="","",IFERROR(IF(VLOOKUP(T14+7,'Fechas de clase'!$B$5:$B$102,1,0),T14+14),T14+7)))</f>
        <v>45789</v>
      </c>
      <c r="V14" s="289">
        <f>IF($H14="(en blanco)","",IF($H14="","",IFERROR(IF(VLOOKUP(U14+7,'Fechas de clase'!$B$5:$B$102,1,0),U14+14),U14+7)))</f>
        <v>45796</v>
      </c>
      <c r="W14" s="289">
        <f>IF($H14="(en blanco)","",IF($H14="","",IFERROR(IF(VLOOKUP(V14+7,'Fechas de clase'!$B$5:$B$102,1,0),V14+14),V14+7)))</f>
        <v>45803</v>
      </c>
      <c r="X14" s="289">
        <f>IF($H14="(en blanco)","",IF($H14="","",IFERROR(IF(VLOOKUP(W14+7,'Fechas de clase'!$B$5:$B$102,1,0),W14+14),W14+7)))</f>
        <v>45810</v>
      </c>
      <c r="Y14" s="289">
        <f>IF($H14="(en blanco)","",IF($H14="","",IFERROR(IF(VLOOKUP(X14+7,'Fechas de clase'!$B$5:$B$102,1,0),X14+14),X14+7)))</f>
        <v>45817</v>
      </c>
    </row>
    <row r="15" spans="2:25" ht="15">
      <c r="B15" s="285">
        <v>45875</v>
      </c>
      <c r="C15" s="286" t="s">
        <v>348</v>
      </c>
      <c r="H15" s="287" t="s">
        <v>339</v>
      </c>
      <c r="I15" s="24" t="s">
        <v>339</v>
      </c>
      <c r="J15" s="288" t="str">
        <f t="shared" si="0"/>
        <v>(en blanco)-(en blanco)</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349</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350</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351</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352</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353</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354</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85"/>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85"/>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85"/>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85"/>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85"/>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85"/>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85"/>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85"/>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85"/>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85"/>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85"/>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85"/>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85"/>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85"/>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85"/>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85"/>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85"/>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85"/>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85"/>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85"/>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85"/>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85"/>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85"/>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85"/>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85"/>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85"/>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85"/>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85"/>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85"/>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85"/>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85"/>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85"/>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85"/>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85"/>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85"/>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85"/>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85"/>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85"/>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85"/>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85"/>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85"/>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85"/>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85"/>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85"/>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85"/>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85"/>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85"/>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85"/>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85"/>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85"/>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85"/>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85"/>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85"/>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85"/>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85"/>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85"/>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85"/>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85"/>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85"/>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85"/>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85"/>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85"/>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85"/>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85"/>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85"/>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85"/>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85"/>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85"/>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85"/>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85"/>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85"/>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85"/>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85"/>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85"/>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85"/>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85"/>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85"/>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85"/>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85"/>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355</v>
      </c>
    </row>
    <row r="4" spans="2:59">
      <c r="B4" s="185" t="s">
        <v>68</v>
      </c>
      <c r="C4" t="s">
        <v>356</v>
      </c>
      <c r="D4" s="62"/>
      <c r="BB4" s="185" t="s">
        <v>11</v>
      </c>
      <c r="BC4" t="s">
        <v>355</v>
      </c>
    </row>
    <row r="5" spans="2:59">
      <c r="D5" s="62"/>
      <c r="BB5" s="185" t="s">
        <v>68</v>
      </c>
      <c r="BC5" t="s">
        <v>355</v>
      </c>
      <c r="BD5" s="62"/>
    </row>
    <row r="6" spans="2:59">
      <c r="B6" s="185" t="s">
        <v>14</v>
      </c>
      <c r="C6" s="185" t="s">
        <v>67</v>
      </c>
      <c r="D6" s="185" t="s">
        <v>10</v>
      </c>
      <c r="E6" s="185" t="s">
        <v>357</v>
      </c>
      <c r="F6" s="185" t="s">
        <v>31</v>
      </c>
      <c r="G6" s="185" t="s">
        <v>32</v>
      </c>
      <c r="H6" t="s">
        <v>358</v>
      </c>
      <c r="I6" s="204" t="s">
        <v>359</v>
      </c>
      <c r="J6" s="187" t="s">
        <v>360</v>
      </c>
      <c r="K6" s="188" t="s">
        <v>361</v>
      </c>
      <c r="L6" s="188" t="s">
        <v>362</v>
      </c>
      <c r="M6" s="188" t="s">
        <v>363</v>
      </c>
      <c r="N6" s="188" t="s">
        <v>364</v>
      </c>
      <c r="O6" s="188" t="s">
        <v>365</v>
      </c>
      <c r="P6" s="188" t="s">
        <v>366</v>
      </c>
      <c r="Q6" s="188" t="s">
        <v>367</v>
      </c>
      <c r="R6" s="188" t="s">
        <v>368</v>
      </c>
      <c r="S6" s="188" t="s">
        <v>369</v>
      </c>
      <c r="T6" s="188" t="s">
        <v>370</v>
      </c>
      <c r="U6" s="188" t="s">
        <v>371</v>
      </c>
      <c r="V6" s="188" t="s">
        <v>372</v>
      </c>
      <c r="W6" s="188" t="s">
        <v>373</v>
      </c>
      <c r="X6" s="188" t="s">
        <v>374</v>
      </c>
      <c r="Y6" s="189" t="s">
        <v>375</v>
      </c>
      <c r="AA6" s="187" t="s">
        <v>65</v>
      </c>
      <c r="AB6" s="188" t="s">
        <v>10</v>
      </c>
      <c r="AC6" s="188" t="s">
        <v>14</v>
      </c>
      <c r="AD6" s="188" t="s">
        <v>11</v>
      </c>
      <c r="AE6" s="188" t="s">
        <v>376</v>
      </c>
      <c r="AF6" s="188" t="s">
        <v>24</v>
      </c>
      <c r="AG6" s="188" t="s">
        <v>31</v>
      </c>
      <c r="AH6" s="188" t="s">
        <v>32</v>
      </c>
      <c r="AI6" s="188" t="s">
        <v>377</v>
      </c>
      <c r="AJ6" s="188" t="s">
        <v>378</v>
      </c>
      <c r="AK6" s="188" t="s">
        <v>360</v>
      </c>
      <c r="AL6" s="188" t="s">
        <v>361</v>
      </c>
      <c r="AM6" s="188" t="s">
        <v>362</v>
      </c>
      <c r="AN6" s="188" t="s">
        <v>363</v>
      </c>
      <c r="AO6" s="188" t="s">
        <v>364</v>
      </c>
      <c r="AP6" s="188" t="s">
        <v>365</v>
      </c>
      <c r="AQ6" s="188" t="s">
        <v>366</v>
      </c>
      <c r="AR6" s="188" t="s">
        <v>367</v>
      </c>
      <c r="AS6" s="188" t="s">
        <v>368</v>
      </c>
      <c r="AT6" s="188" t="s">
        <v>369</v>
      </c>
      <c r="AU6" s="188" t="s">
        <v>370</v>
      </c>
      <c r="AV6" s="188" t="s">
        <v>371</v>
      </c>
      <c r="AW6" s="188" t="s">
        <v>372</v>
      </c>
      <c r="AX6" s="188" t="s">
        <v>373</v>
      </c>
      <c r="AY6" s="188" t="s">
        <v>374</v>
      </c>
      <c r="AZ6" s="189" t="s">
        <v>375</v>
      </c>
      <c r="BA6" s="204" t="s">
        <v>359</v>
      </c>
      <c r="BD6" s="62"/>
    </row>
    <row r="7" spans="2:59">
      <c r="B7" s="62">
        <v>45672</v>
      </c>
      <c r="C7" t="s">
        <v>379</v>
      </c>
      <c r="D7" t="s">
        <v>72</v>
      </c>
      <c r="E7" t="s">
        <v>78</v>
      </c>
      <c r="F7" t="s">
        <v>339</v>
      </c>
      <c r="G7" t="s">
        <v>339</v>
      </c>
      <c r="H7" s="329">
        <v>1</v>
      </c>
      <c r="I7">
        <f>IF(C7="","",COUNTIFS(Tabla1[[#All],[¿Pasó a miembro?]],"Si",Tabla1[[#All],[Tipo Incrito]],"&lt;&gt;Pre-Inscrito",Tabla1[[#All],[llave2]],Gráficos_!C7))</f>
        <v>0</v>
      </c>
      <c r="J7" s="186">
        <f>IF(C7="","",COUNTIFS(Tabla1[[#All],[sem 01]],"=P",Tabla1[[#All],[llave2]],Gráficos_!C7))</f>
        <v>0</v>
      </c>
      <c r="K7">
        <f>IF(C7="","",COUNTIFS(Tabla1[[#All],[sem 02]],"=P",Tabla1[[#All],[llave2]],Gráficos_!C7))</f>
        <v>1</v>
      </c>
      <c r="L7">
        <f>IF(C7="","",COUNTIFS(Tabla1[[#All],[sem 03]],"=P",Tabla1[[#All],[llave2]],Gráficos_!C7))</f>
        <v>1</v>
      </c>
      <c r="M7">
        <f>IF(C7="","",COUNTIFS(Tabla1[[#All],[sem 04]],"=P",Tabla1[[#All],[llave2]],Gráficos_!C7))</f>
        <v>0</v>
      </c>
      <c r="N7">
        <f>IF(C7="","",COUNTIFS(Tabla1[[#All],[sem 05]],"=P",Tabla1[[#All],[llave2]],Gráficos_!C7))</f>
        <v>1</v>
      </c>
      <c r="O7">
        <f>IF(C7="","",COUNTIFS(Tabla1[[#All],[sem 06]],"=P",Tabla1[[#All],[llave2]],Gráficos_!C7))</f>
        <v>1</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Lima - Jesús María-Enero---45672-Inscrito Nuevo</v>
      </c>
      <c r="AB7" t="str">
        <f t="shared" ref="AB7:AB38" si="1">IF(OR(D7="",D7="(En blanco)"),"",D7)</f>
        <v>Conócete a ti mismo</v>
      </c>
      <c r="AC7" s="62">
        <f t="shared" ref="AC7:AC38" si="2">IF(OR(B7="",B7="(En blanco)"),"",B7)</f>
        <v>45672</v>
      </c>
      <c r="AD7" t="str">
        <f t="shared" ref="AD7:AD38" si="3">IF(OR(B7="",B7="(En blanco)"),"",TEXT(B7,"mmmm"))</f>
        <v>January</v>
      </c>
      <c r="AE7" t="str">
        <f>IF(OR(B7="",B7="(En blanco)"),"",TEXT(B7,"yyyy"))</f>
        <v>2025</v>
      </c>
      <c r="AF7" t="str">
        <f t="shared" ref="AF7:AF38" si="4">IF(OR(E7="",E7="(En blanco)"),"",E7)</f>
        <v>Inscrito Nuevo</v>
      </c>
      <c r="AG7" t="str">
        <f t="shared" ref="AG7:AG38" si="5">IF(OR(F7="",F7="(En blanco)"),"",F7)</f>
        <v/>
      </c>
      <c r="AH7" t="str">
        <f t="shared" ref="AH7:AH38" si="6">IF(OR(G7="",G7="(En blanco)"),"",G7)</f>
        <v/>
      </c>
      <c r="AI7">
        <f t="shared" ref="AI7:AI38" si="7">IF(H7="","",H7)</f>
        <v>1</v>
      </c>
      <c r="AK7">
        <f>IF(J7="","",J7)</f>
        <v>0</v>
      </c>
      <c r="AL7">
        <f t="shared" ref="AL7:AV22" si="8">IF(K7="","",K7)</f>
        <v>1</v>
      </c>
      <c r="AM7">
        <f t="shared" si="8"/>
        <v>1</v>
      </c>
      <c r="AN7">
        <f t="shared" si="8"/>
        <v>0</v>
      </c>
      <c r="AO7">
        <f t="shared" si="8"/>
        <v>1</v>
      </c>
      <c r="AP7">
        <f t="shared" si="8"/>
        <v>1</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357</v>
      </c>
      <c r="BE7" s="185" t="s">
        <v>31</v>
      </c>
      <c r="BF7" s="185" t="s">
        <v>32</v>
      </c>
      <c r="BG7" t="s">
        <v>358</v>
      </c>
    </row>
    <row r="8" spans="2:59">
      <c r="B8" s="62">
        <v>45673</v>
      </c>
      <c r="C8" t="s">
        <v>380</v>
      </c>
      <c r="D8" t="s">
        <v>72</v>
      </c>
      <c r="E8" t="s">
        <v>78</v>
      </c>
      <c r="F8" t="s">
        <v>339</v>
      </c>
      <c r="G8" t="s">
        <v>339</v>
      </c>
      <c r="H8" s="329">
        <v>1</v>
      </c>
      <c r="I8">
        <f>IF(C8="","",COUNTIFS(Tabla1[[#All],[¿Pasó a miembro?]],"Si",Tabla1[[#All],[Tipo Incrito]],"&lt;&gt;Pre-Inscrito",Tabla1[[#All],[llave2]],Gráficos_!C8))</f>
        <v>0</v>
      </c>
      <c r="J8" s="186">
        <f>IF(C8="","",COUNTIFS(Tabla1[[#All],[sem 01]],"=P",Tabla1[[#All],[llave2]],Gráficos_!C8))</f>
        <v>0</v>
      </c>
      <c r="K8">
        <f>IF(C8="","",COUNTIFS(Tabla1[[#All],[sem 02]],"=P",Tabla1[[#All],[llave2]],Gráficos_!C8))</f>
        <v>1</v>
      </c>
      <c r="L8">
        <f>IF(C8="","",COUNTIFS(Tabla1[[#All],[sem 03]],"=P",Tabla1[[#All],[llave2]],Gráficos_!C8))</f>
        <v>1</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Lima - Jesús María-Enero---45673-Inscrito Nuevo</v>
      </c>
      <c r="AB8" t="str">
        <f t="shared" si="1"/>
        <v>Conócete a ti mismo</v>
      </c>
      <c r="AC8" s="62">
        <f t="shared" si="2"/>
        <v>45673</v>
      </c>
      <c r="AD8" t="str">
        <f t="shared" si="3"/>
        <v>January</v>
      </c>
      <c r="AE8" t="str">
        <f t="shared" ref="AE8:AE71" si="13">IF(OR(B8="",B8="(En blanco)"),"",TEXT(B8,"yyyy"))</f>
        <v>2025</v>
      </c>
      <c r="AF8" t="str">
        <f t="shared" si="4"/>
        <v>Inscrito Nuevo</v>
      </c>
      <c r="AG8" t="str">
        <f t="shared" si="5"/>
        <v/>
      </c>
      <c r="AH8" t="str">
        <f t="shared" si="6"/>
        <v/>
      </c>
      <c r="AI8">
        <f t="shared" si="7"/>
        <v>1</v>
      </c>
      <c r="AK8">
        <f t="shared" ref="AK8:AV28" si="14">IF(J8="","",J8)</f>
        <v>0</v>
      </c>
      <c r="AL8">
        <f t="shared" si="8"/>
        <v>1</v>
      </c>
      <c r="AM8">
        <f t="shared" si="8"/>
        <v>1</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45672</v>
      </c>
      <c r="BC8" t="s">
        <v>72</v>
      </c>
      <c r="BD8" t="s">
        <v>78</v>
      </c>
      <c r="BE8" t="s">
        <v>339</v>
      </c>
      <c r="BF8" t="s">
        <v>339</v>
      </c>
      <c r="BG8" s="329">
        <v>1</v>
      </c>
    </row>
    <row r="9" spans="2:59">
      <c r="B9" s="62">
        <v>45674</v>
      </c>
      <c r="C9" t="s">
        <v>381</v>
      </c>
      <c r="D9" t="s">
        <v>72</v>
      </c>
      <c r="E9" t="s">
        <v>78</v>
      </c>
      <c r="F9" t="s">
        <v>339</v>
      </c>
      <c r="G9" t="s">
        <v>339</v>
      </c>
      <c r="H9" s="329">
        <v>1</v>
      </c>
      <c r="I9">
        <f>IF(C9="","",COUNTIFS(Tabla1[[#All],[¿Pasó a miembro?]],"Si",Tabla1[[#All],[Tipo Incrito]],"&lt;&gt;Pre-Inscrito",Tabla1[[#All],[llave2]],Gráficos_!C9))</f>
        <v>0</v>
      </c>
      <c r="J9" s="186">
        <f>IF(C9="","",COUNTIFS(Tabla1[[#All],[sem 01]],"=P",Tabla1[[#All],[llave2]],Gráficos_!C9))</f>
        <v>1</v>
      </c>
      <c r="K9">
        <f>IF(C9="","",COUNTIFS(Tabla1[[#All],[sem 02]],"=P",Tabla1[[#All],[llave2]],Gráficos_!C9))</f>
        <v>1</v>
      </c>
      <c r="L9">
        <f>IF(C9="","",COUNTIFS(Tabla1[[#All],[sem 03]],"=P",Tabla1[[#All],[llave2]],Gráficos_!C9))</f>
        <v>1</v>
      </c>
      <c r="M9">
        <f>IF(C9="","",COUNTIFS(Tabla1[[#All],[sem 04]],"=P",Tabla1[[#All],[llave2]],Gráficos_!C9))</f>
        <v>1</v>
      </c>
      <c r="N9">
        <f>IF(C9="","",COUNTIFS(Tabla1[[#All],[sem 05]],"=P",Tabla1[[#All],[llave2]],Gráficos_!C9))</f>
        <v>1</v>
      </c>
      <c r="O9">
        <f>IF(C9="","",COUNTIFS(Tabla1[[#All],[sem 06]],"=P",Tabla1[[#All],[llave2]],Gráficos_!C9))</f>
        <v>1</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Lima - Jesús María-Enero---45674-Inscrito Nuevo</v>
      </c>
      <c r="AB9" t="str">
        <f t="shared" si="1"/>
        <v>Conócete a ti mismo</v>
      </c>
      <c r="AC9" s="62">
        <f t="shared" si="2"/>
        <v>45674</v>
      </c>
      <c r="AD9" t="str">
        <f t="shared" si="3"/>
        <v>January</v>
      </c>
      <c r="AE9" t="str">
        <f t="shared" si="13"/>
        <v>2025</v>
      </c>
      <c r="AF9" t="str">
        <f t="shared" si="4"/>
        <v>Inscrito Nuevo</v>
      </c>
      <c r="AG9" t="str">
        <f t="shared" si="5"/>
        <v/>
      </c>
      <c r="AH9" t="str">
        <f t="shared" si="6"/>
        <v/>
      </c>
      <c r="AI9">
        <f t="shared" si="7"/>
        <v>1</v>
      </c>
      <c r="AK9">
        <f t="shared" si="14"/>
        <v>1</v>
      </c>
      <c r="AL9">
        <f t="shared" si="8"/>
        <v>1</v>
      </c>
      <c r="AM9">
        <f t="shared" si="8"/>
        <v>1</v>
      </c>
      <c r="AN9">
        <f t="shared" si="8"/>
        <v>1</v>
      </c>
      <c r="AO9">
        <f t="shared" si="8"/>
        <v>1</v>
      </c>
      <c r="AP9">
        <f t="shared" si="8"/>
        <v>1</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45673</v>
      </c>
      <c r="BC9" t="s">
        <v>72</v>
      </c>
      <c r="BD9" t="s">
        <v>78</v>
      </c>
      <c r="BE9" t="s">
        <v>339</v>
      </c>
      <c r="BF9" t="s">
        <v>339</v>
      </c>
      <c r="BG9" s="329">
        <v>1</v>
      </c>
    </row>
    <row r="10" spans="2:59">
      <c r="B10" s="62">
        <v>45675</v>
      </c>
      <c r="C10" t="s">
        <v>382</v>
      </c>
      <c r="D10" t="s">
        <v>72</v>
      </c>
      <c r="E10" t="s">
        <v>78</v>
      </c>
      <c r="F10" t="s">
        <v>339</v>
      </c>
      <c r="G10" t="s">
        <v>339</v>
      </c>
      <c r="H10" s="329">
        <v>1</v>
      </c>
      <c r="I10">
        <f>IF(C10="","",COUNTIFS(Tabla1[[#All],[¿Pasó a miembro?]],"Si",Tabla1[[#All],[Tipo Incrito]],"&lt;&gt;Pre-Inscrito",Tabla1[[#All],[llave2]],Gráficos_!C10))</f>
        <v>0</v>
      </c>
      <c r="J10" s="186">
        <f>IF(C10="","",COUNTIFS(Tabla1[[#All],[sem 01]],"=P",Tabla1[[#All],[llave2]],Gráficos_!C10))</f>
        <v>0</v>
      </c>
      <c r="K10">
        <f>IF(C10="","",COUNTIFS(Tabla1[[#All],[sem 02]],"=P",Tabla1[[#All],[llave2]],Gráficos_!C10))</f>
        <v>1</v>
      </c>
      <c r="L10">
        <f>IF(C10="","",COUNTIFS(Tabla1[[#All],[sem 03]],"=P",Tabla1[[#All],[llave2]],Gráficos_!C10))</f>
        <v>0</v>
      </c>
      <c r="M10">
        <f>IF(C10="","",COUNTIFS(Tabla1[[#All],[sem 04]],"=P",Tabla1[[#All],[llave2]],Gráficos_!C10))</f>
        <v>1</v>
      </c>
      <c r="N10">
        <f>IF(C10="","",COUNTIFS(Tabla1[[#All],[sem 05]],"=P",Tabla1[[#All],[llave2]],Gráficos_!C10))</f>
        <v>0</v>
      </c>
      <c r="O10">
        <f>IF(C10="","",COUNTIFS(Tabla1[[#All],[sem 06]],"=P",Tabla1[[#All],[llave2]],Gráficos_!C10))</f>
        <v>1</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Lima - Jesús María-Enero---45675-Inscrito Nuevo</v>
      </c>
      <c r="AB10" t="str">
        <f t="shared" si="1"/>
        <v>Conócete a ti mismo</v>
      </c>
      <c r="AC10" s="62">
        <f t="shared" si="2"/>
        <v>45675</v>
      </c>
      <c r="AD10" t="str">
        <f t="shared" si="3"/>
        <v>January</v>
      </c>
      <c r="AE10" t="str">
        <f t="shared" si="13"/>
        <v>2025</v>
      </c>
      <c r="AF10" t="str">
        <f t="shared" si="4"/>
        <v>Inscrito Nuevo</v>
      </c>
      <c r="AG10" t="str">
        <f t="shared" si="5"/>
        <v/>
      </c>
      <c r="AH10" t="str">
        <f t="shared" si="6"/>
        <v/>
      </c>
      <c r="AI10">
        <f t="shared" si="7"/>
        <v>1</v>
      </c>
      <c r="AK10">
        <f t="shared" si="14"/>
        <v>0</v>
      </c>
      <c r="AL10">
        <f t="shared" si="8"/>
        <v>1</v>
      </c>
      <c r="AM10">
        <f t="shared" si="8"/>
        <v>0</v>
      </c>
      <c r="AN10">
        <f t="shared" si="8"/>
        <v>1</v>
      </c>
      <c r="AO10">
        <f t="shared" si="8"/>
        <v>0</v>
      </c>
      <c r="AP10">
        <f t="shared" si="8"/>
        <v>1</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45674</v>
      </c>
      <c r="BC10" t="s">
        <v>72</v>
      </c>
      <c r="BD10" t="s">
        <v>78</v>
      </c>
      <c r="BE10" t="s">
        <v>339</v>
      </c>
      <c r="BF10" t="s">
        <v>339</v>
      </c>
      <c r="BG10" s="329">
        <v>1</v>
      </c>
    </row>
    <row r="11" spans="2:59">
      <c r="B11" s="62">
        <v>45708</v>
      </c>
      <c r="C11" t="s">
        <v>383</v>
      </c>
      <c r="D11" t="s">
        <v>72</v>
      </c>
      <c r="E11" t="s">
        <v>78</v>
      </c>
      <c r="F11" t="s">
        <v>339</v>
      </c>
      <c r="G11" t="s">
        <v>339</v>
      </c>
      <c r="H11" s="329">
        <v>1</v>
      </c>
      <c r="I11">
        <f>IF(C11="","",COUNTIFS(Tabla1[[#All],[¿Pasó a miembro?]],"Si",Tabla1[[#All],[Tipo Incrito]],"&lt;&gt;Pre-Inscrito",Tabla1[[#All],[llave2]],Gráficos_!C11))</f>
        <v>0</v>
      </c>
      <c r="J11" s="186">
        <f>IF(C11="","",COUNTIFS(Tabla1[[#All],[sem 01]],"=P",Tabla1[[#All],[llave2]],Gráficos_!C11))</f>
        <v>1</v>
      </c>
      <c r="K11">
        <f>IF(C11="","",COUNTIFS(Tabla1[[#All],[sem 02]],"=P",Tabla1[[#All],[llave2]],Gráficos_!C11))</f>
        <v>1</v>
      </c>
      <c r="L11">
        <f>IF(C11="","",COUNTIFS(Tabla1[[#All],[sem 03]],"=P",Tabla1[[#All],[llave2]],Gráficos_!C11))</f>
        <v>0</v>
      </c>
      <c r="M11">
        <f>IF(C11="","",COUNTIFS(Tabla1[[#All],[sem 04]],"=P",Tabla1[[#All],[llave2]],Gráficos_!C11))</f>
        <v>0</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Lima - Jesús María-Febrero---45708-Inscrito Nuevo</v>
      </c>
      <c r="AB11" t="str">
        <f t="shared" si="1"/>
        <v>Conócete a ti mismo</v>
      </c>
      <c r="AC11" s="62">
        <f t="shared" si="2"/>
        <v>45708</v>
      </c>
      <c r="AD11" t="str">
        <f t="shared" si="3"/>
        <v>February</v>
      </c>
      <c r="AE11" t="str">
        <f t="shared" si="13"/>
        <v>2025</v>
      </c>
      <c r="AF11" t="str">
        <f t="shared" si="4"/>
        <v>Inscrito Nuevo</v>
      </c>
      <c r="AG11" t="str">
        <f t="shared" si="5"/>
        <v/>
      </c>
      <c r="AH11" t="str">
        <f t="shared" si="6"/>
        <v/>
      </c>
      <c r="AI11">
        <f t="shared" si="7"/>
        <v>1</v>
      </c>
      <c r="AK11">
        <f t="shared" si="14"/>
        <v>1</v>
      </c>
      <c r="AL11">
        <f t="shared" si="8"/>
        <v>1</v>
      </c>
      <c r="AM11">
        <f t="shared" si="8"/>
        <v>0</v>
      </c>
      <c r="AN11">
        <f t="shared" si="8"/>
        <v>0</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c r="BB11" s="62">
        <v>45675</v>
      </c>
      <c r="BC11" t="s">
        <v>72</v>
      </c>
      <c r="BD11" t="s">
        <v>78</v>
      </c>
      <c r="BE11" t="s">
        <v>339</v>
      </c>
      <c r="BF11" t="s">
        <v>339</v>
      </c>
      <c r="BG11" s="329">
        <v>1</v>
      </c>
    </row>
    <row r="12" spans="2:59">
      <c r="B12" s="62">
        <v>45709</v>
      </c>
      <c r="C12" t="s">
        <v>384</v>
      </c>
      <c r="D12" t="s">
        <v>72</v>
      </c>
      <c r="E12" t="s">
        <v>78</v>
      </c>
      <c r="F12" t="s">
        <v>339</v>
      </c>
      <c r="G12" t="s">
        <v>339</v>
      </c>
      <c r="H12" s="329">
        <v>1</v>
      </c>
      <c r="I12">
        <f>IF(C12="","",COUNTIFS(Tabla1[[#All],[¿Pasó a miembro?]],"Si",Tabla1[[#All],[Tipo Incrito]],"&lt;&gt;Pre-Inscrito",Tabla1[[#All],[llave2]],Gráficos_!C12))</f>
        <v>0</v>
      </c>
      <c r="J12" s="186">
        <f>IF(C12="","",COUNTIFS(Tabla1[[#All],[sem 01]],"=P",Tabla1[[#All],[llave2]],Gráficos_!C12))</f>
        <v>1</v>
      </c>
      <c r="K12">
        <f>IF(C12="","",COUNTIFS(Tabla1[[#All],[sem 02]],"=P",Tabla1[[#All],[llave2]],Gráficos_!C12))</f>
        <v>1</v>
      </c>
      <c r="L12">
        <f>IF(C12="","",COUNTIFS(Tabla1[[#All],[sem 03]],"=P",Tabla1[[#All],[llave2]],Gráficos_!C12))</f>
        <v>0</v>
      </c>
      <c r="M12">
        <f>IF(C12="","",COUNTIFS(Tabla1[[#All],[sem 04]],"=P",Tabla1[[#All],[llave2]],Gráficos_!C12))</f>
        <v>0</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0">
        <f>IF(C12="","",COUNTIFS(Tabla1[[#All],[sem 16]],"=P",Tabla1[[#All],[llave2]],Gráficos_!C12))</f>
        <v>0</v>
      </c>
      <c r="AA12" s="186" t="str">
        <f t="shared" si="0"/>
        <v>Lima - Jesús María-Febrero---45709-Inscrito Nuevo</v>
      </c>
      <c r="AB12" t="str">
        <f t="shared" si="1"/>
        <v>Conócete a ti mismo</v>
      </c>
      <c r="AC12" s="62">
        <f t="shared" si="2"/>
        <v>45709</v>
      </c>
      <c r="AD12" t="str">
        <f t="shared" si="3"/>
        <v>February</v>
      </c>
      <c r="AE12" t="str">
        <f t="shared" si="13"/>
        <v>2025</v>
      </c>
      <c r="AF12" t="str">
        <f t="shared" si="4"/>
        <v>Inscrito Nuevo</v>
      </c>
      <c r="AG12" t="str">
        <f t="shared" si="5"/>
        <v/>
      </c>
      <c r="AH12" t="str">
        <f t="shared" si="6"/>
        <v/>
      </c>
      <c r="AI12">
        <f t="shared" si="7"/>
        <v>1</v>
      </c>
      <c r="AK12">
        <f t="shared" si="14"/>
        <v>1</v>
      </c>
      <c r="AL12">
        <f t="shared" si="8"/>
        <v>1</v>
      </c>
      <c r="AM12">
        <f t="shared" si="8"/>
        <v>0</v>
      </c>
      <c r="AN12">
        <f t="shared" si="8"/>
        <v>0</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0">
        <f t="shared" si="12"/>
        <v>0</v>
      </c>
      <c r="BA12">
        <f t="shared" si="15"/>
        <v>0</v>
      </c>
      <c r="BB12" s="62">
        <v>45708</v>
      </c>
      <c r="BC12" t="s">
        <v>72</v>
      </c>
      <c r="BD12" t="s">
        <v>78</v>
      </c>
      <c r="BE12" t="s">
        <v>339</v>
      </c>
      <c r="BF12" t="s">
        <v>339</v>
      </c>
      <c r="BG12" s="329">
        <v>1</v>
      </c>
    </row>
    <row r="13" spans="2:59">
      <c r="B13" s="62">
        <v>45710</v>
      </c>
      <c r="C13" t="s">
        <v>385</v>
      </c>
      <c r="D13" t="s">
        <v>72</v>
      </c>
      <c r="E13" t="s">
        <v>78</v>
      </c>
      <c r="F13" t="s">
        <v>339</v>
      </c>
      <c r="G13" t="s">
        <v>339</v>
      </c>
      <c r="H13" s="329">
        <v>1</v>
      </c>
      <c r="I13">
        <f>IF(C13="","",COUNTIFS(Tabla1[[#All],[¿Pasó a miembro?]],"Si",Tabla1[[#All],[Tipo Incrito]],"&lt;&gt;Pre-Inscrito",Tabla1[[#All],[llave2]],Gráficos_!C13))</f>
        <v>0</v>
      </c>
      <c r="J13" s="186">
        <f>IF(C13="","",COUNTIFS(Tabla1[[#All],[sem 01]],"=P",Tabla1[[#All],[llave2]],Gráficos_!C13))</f>
        <v>1</v>
      </c>
      <c r="K13">
        <f>IF(C13="","",COUNTIFS(Tabla1[[#All],[sem 02]],"=P",Tabla1[[#All],[llave2]],Gráficos_!C13))</f>
        <v>1</v>
      </c>
      <c r="L13">
        <f>IF(C13="","",COUNTIFS(Tabla1[[#All],[sem 03]],"=P",Tabla1[[#All],[llave2]],Gráficos_!C13))</f>
        <v>0</v>
      </c>
      <c r="M13">
        <f>IF(C13="","",COUNTIFS(Tabla1[[#All],[sem 04]],"=P",Tabla1[[#All],[llave2]],Gráficos_!C13))</f>
        <v>0</v>
      </c>
      <c r="N13">
        <f>IF(C13="","",COUNTIFS(Tabla1[[#All],[sem 05]],"=P",Tabla1[[#All],[llave2]],Gráficos_!C13))</f>
        <v>0</v>
      </c>
      <c r="O13">
        <f>IF(C13="","",COUNTIFS(Tabla1[[#All],[sem 06]],"=P",Tabla1[[#All],[llave2]],Gráficos_!C13))</f>
        <v>0</v>
      </c>
      <c r="P13">
        <f>IF(C13="","",COUNTIFS(Tabla1[[#All],[sem 07]],"=P",Tabla1[[#All],[llave2]],Gráficos_!C13))</f>
        <v>0</v>
      </c>
      <c r="Q13">
        <f>IF(C13="","",COUNTIFS(Tabla1[[#All],[sem 08]],"=P",Tabla1[[#All],[llave2]],Gráficos_!C13))</f>
        <v>0</v>
      </c>
      <c r="R13">
        <f>IF(C13="","",COUNTIFS(Tabla1[[#All],[sem 09]],"=P",Tabla1[[#All],[llave2]],Gráficos_!C13))</f>
        <v>0</v>
      </c>
      <c r="S13">
        <f>IF(C13="","",COUNTIFS(Tabla1[[#All],[sem 10]],"=P",Tabla1[[#All],[llave2]],Gráficos_!C13))</f>
        <v>0</v>
      </c>
      <c r="T13">
        <f>IF(C13="","",COUNTIFS(Tabla1[[#All],[sem 11]],"=P",Tabla1[[#All],[llave2]],Gráficos_!C13))</f>
        <v>0</v>
      </c>
      <c r="U13">
        <f>IF(C13="","",COUNTIFS(Tabla1[[#All],[sem 12]],"=P",Tabla1[[#All],[llave2]],Gráficos_!C13))</f>
        <v>0</v>
      </c>
      <c r="V13">
        <f>IF(C13="","",COUNTIFS(Tabla1[[#All],[sem 13]],"=P",Tabla1[[#All],[llave2]],Gráficos_!C13))</f>
        <v>0</v>
      </c>
      <c r="W13">
        <f>IF(C13="","",COUNTIFS(Tabla1[[#All],[sem 14]],"=P",Tabla1[[#All],[llave2]],Gráficos_!C13))</f>
        <v>0</v>
      </c>
      <c r="X13">
        <f>IF(C13="","",COUNTIFS(Tabla1[[#All],[sem 15]],"=P",Tabla1[[#All],[llave2]],Gráficos_!C13))</f>
        <v>0</v>
      </c>
      <c r="Y13" s="190">
        <f>IF(C13="","",COUNTIFS(Tabla1[[#All],[sem 16]],"=P",Tabla1[[#All],[llave2]],Gráficos_!C13))</f>
        <v>0</v>
      </c>
      <c r="AA13" s="186" t="str">
        <f t="shared" si="0"/>
        <v>Lima - Jesús María-Febrero---45710-Inscrito Nuevo</v>
      </c>
      <c r="AB13" t="str">
        <f t="shared" si="1"/>
        <v>Conócete a ti mismo</v>
      </c>
      <c r="AC13" s="62">
        <f t="shared" si="2"/>
        <v>45710</v>
      </c>
      <c r="AD13" t="str">
        <f t="shared" si="3"/>
        <v>February</v>
      </c>
      <c r="AE13" t="str">
        <f t="shared" si="13"/>
        <v>2025</v>
      </c>
      <c r="AF13" t="str">
        <f t="shared" si="4"/>
        <v>Inscrito Nuevo</v>
      </c>
      <c r="AG13" t="str">
        <f t="shared" si="5"/>
        <v/>
      </c>
      <c r="AH13" t="str">
        <f t="shared" si="6"/>
        <v/>
      </c>
      <c r="AI13">
        <f t="shared" si="7"/>
        <v>1</v>
      </c>
      <c r="AK13">
        <f t="shared" si="14"/>
        <v>1</v>
      </c>
      <c r="AL13">
        <f t="shared" si="8"/>
        <v>1</v>
      </c>
      <c r="AM13">
        <f t="shared" si="8"/>
        <v>0</v>
      </c>
      <c r="AN13">
        <f t="shared" si="8"/>
        <v>0</v>
      </c>
      <c r="AO13">
        <f t="shared" si="8"/>
        <v>0</v>
      </c>
      <c r="AP13">
        <f t="shared" si="8"/>
        <v>0</v>
      </c>
      <c r="AQ13">
        <f t="shared" si="8"/>
        <v>0</v>
      </c>
      <c r="AR13">
        <f t="shared" si="8"/>
        <v>0</v>
      </c>
      <c r="AS13">
        <f t="shared" si="8"/>
        <v>0</v>
      </c>
      <c r="AT13">
        <f t="shared" si="8"/>
        <v>0</v>
      </c>
      <c r="AU13">
        <f t="shared" si="8"/>
        <v>0</v>
      </c>
      <c r="AV13">
        <f t="shared" si="8"/>
        <v>0</v>
      </c>
      <c r="AW13">
        <f t="shared" si="9"/>
        <v>0</v>
      </c>
      <c r="AX13">
        <f t="shared" si="10"/>
        <v>0</v>
      </c>
      <c r="AY13">
        <f t="shared" si="11"/>
        <v>0</v>
      </c>
      <c r="AZ13" s="190">
        <f t="shared" si="12"/>
        <v>0</v>
      </c>
      <c r="BA13">
        <f t="shared" si="15"/>
        <v>0</v>
      </c>
      <c r="BB13" s="62">
        <v>45709</v>
      </c>
      <c r="BC13" t="s">
        <v>72</v>
      </c>
      <c r="BD13" t="s">
        <v>78</v>
      </c>
      <c r="BE13" t="s">
        <v>339</v>
      </c>
      <c r="BF13" t="s">
        <v>339</v>
      </c>
      <c r="BG13" s="329">
        <v>1</v>
      </c>
    </row>
    <row r="14" spans="2:59">
      <c r="B14" s="62">
        <v>45711</v>
      </c>
      <c r="C14" t="s">
        <v>386</v>
      </c>
      <c r="D14" t="s">
        <v>72</v>
      </c>
      <c r="E14" t="s">
        <v>78</v>
      </c>
      <c r="F14" t="s">
        <v>339</v>
      </c>
      <c r="G14" t="s">
        <v>339</v>
      </c>
      <c r="H14" s="329">
        <v>1</v>
      </c>
      <c r="I14">
        <f>IF(C14="","",COUNTIFS(Tabla1[[#All],[¿Pasó a miembro?]],"Si",Tabla1[[#All],[Tipo Incrito]],"&lt;&gt;Pre-Inscrito",Tabla1[[#All],[llave2]],Gráficos_!C14))</f>
        <v>0</v>
      </c>
      <c r="J14" s="186">
        <f>IF(C14="","",COUNTIFS(Tabla1[[#All],[sem 01]],"=P",Tabla1[[#All],[llave2]],Gráficos_!C14))</f>
        <v>1</v>
      </c>
      <c r="K14">
        <f>IF(C14="","",COUNTIFS(Tabla1[[#All],[sem 02]],"=P",Tabla1[[#All],[llave2]],Gráficos_!C14))</f>
        <v>1</v>
      </c>
      <c r="L14">
        <f>IF(C14="","",COUNTIFS(Tabla1[[#All],[sem 03]],"=P",Tabla1[[#All],[llave2]],Gráficos_!C14))</f>
        <v>0</v>
      </c>
      <c r="M14">
        <f>IF(C14="","",COUNTIFS(Tabla1[[#All],[sem 04]],"=P",Tabla1[[#All],[llave2]],Gráficos_!C14))</f>
        <v>0</v>
      </c>
      <c r="N14">
        <f>IF(C14="","",COUNTIFS(Tabla1[[#All],[sem 05]],"=P",Tabla1[[#All],[llave2]],Gráficos_!C14))</f>
        <v>0</v>
      </c>
      <c r="O14">
        <f>IF(C14="","",COUNTIFS(Tabla1[[#All],[sem 06]],"=P",Tabla1[[#All],[llave2]],Gráficos_!C14))</f>
        <v>0</v>
      </c>
      <c r="P14">
        <f>IF(C14="","",COUNTIFS(Tabla1[[#All],[sem 07]],"=P",Tabla1[[#All],[llave2]],Gráficos_!C14))</f>
        <v>0</v>
      </c>
      <c r="Q14">
        <f>IF(C14="","",COUNTIFS(Tabla1[[#All],[sem 08]],"=P",Tabla1[[#All],[llave2]],Gráficos_!C14))</f>
        <v>0</v>
      </c>
      <c r="R14">
        <f>IF(C14="","",COUNTIFS(Tabla1[[#All],[sem 09]],"=P",Tabla1[[#All],[llave2]],Gráficos_!C14))</f>
        <v>0</v>
      </c>
      <c r="S14">
        <f>IF(C14="","",COUNTIFS(Tabla1[[#All],[sem 10]],"=P",Tabla1[[#All],[llave2]],Gráficos_!C14))</f>
        <v>0</v>
      </c>
      <c r="T14">
        <f>IF(C14="","",COUNTIFS(Tabla1[[#All],[sem 11]],"=P",Tabla1[[#All],[llave2]],Gráficos_!C14))</f>
        <v>0</v>
      </c>
      <c r="U14">
        <f>IF(C14="","",COUNTIFS(Tabla1[[#All],[sem 12]],"=P",Tabla1[[#All],[llave2]],Gráficos_!C14))</f>
        <v>0</v>
      </c>
      <c r="V14">
        <f>IF(C14="","",COUNTIFS(Tabla1[[#All],[sem 13]],"=P",Tabla1[[#All],[llave2]],Gráficos_!C14))</f>
        <v>0</v>
      </c>
      <c r="W14">
        <f>IF(C14="","",COUNTIFS(Tabla1[[#All],[sem 14]],"=P",Tabla1[[#All],[llave2]],Gráficos_!C14))</f>
        <v>0</v>
      </c>
      <c r="X14">
        <f>IF(C14="","",COUNTIFS(Tabla1[[#All],[sem 15]],"=P",Tabla1[[#All],[llave2]],Gráficos_!C14))</f>
        <v>0</v>
      </c>
      <c r="Y14" s="190">
        <f>IF(C14="","",COUNTIFS(Tabla1[[#All],[sem 16]],"=P",Tabla1[[#All],[llave2]],Gráficos_!C14))</f>
        <v>0</v>
      </c>
      <c r="AA14" s="186" t="str">
        <f t="shared" si="0"/>
        <v>Lima - Jesús María-Febrero---45711-Inscrito Nuevo</v>
      </c>
      <c r="AB14" t="str">
        <f t="shared" si="1"/>
        <v>Conócete a ti mismo</v>
      </c>
      <c r="AC14" s="62">
        <f t="shared" si="2"/>
        <v>45711</v>
      </c>
      <c r="AD14" t="str">
        <f t="shared" si="3"/>
        <v>February</v>
      </c>
      <c r="AE14" t="str">
        <f t="shared" si="13"/>
        <v>2025</v>
      </c>
      <c r="AF14" t="str">
        <f t="shared" si="4"/>
        <v>Inscrito Nuevo</v>
      </c>
      <c r="AG14" t="str">
        <f t="shared" si="5"/>
        <v/>
      </c>
      <c r="AH14" t="str">
        <f t="shared" si="6"/>
        <v/>
      </c>
      <c r="AI14">
        <f t="shared" si="7"/>
        <v>1</v>
      </c>
      <c r="AK14">
        <f t="shared" si="14"/>
        <v>1</v>
      </c>
      <c r="AL14">
        <f t="shared" si="8"/>
        <v>1</v>
      </c>
      <c r="AM14">
        <f t="shared" si="8"/>
        <v>0</v>
      </c>
      <c r="AN14">
        <f t="shared" si="8"/>
        <v>0</v>
      </c>
      <c r="AO14">
        <f t="shared" si="8"/>
        <v>0</v>
      </c>
      <c r="AP14">
        <f t="shared" si="8"/>
        <v>0</v>
      </c>
      <c r="AQ14">
        <f t="shared" si="8"/>
        <v>0</v>
      </c>
      <c r="AR14">
        <f t="shared" si="8"/>
        <v>0</v>
      </c>
      <c r="AS14">
        <f t="shared" si="8"/>
        <v>0</v>
      </c>
      <c r="AT14">
        <f t="shared" si="8"/>
        <v>0</v>
      </c>
      <c r="AU14">
        <f t="shared" si="8"/>
        <v>0</v>
      </c>
      <c r="AV14">
        <f t="shared" si="8"/>
        <v>0</v>
      </c>
      <c r="AW14">
        <f t="shared" si="9"/>
        <v>0</v>
      </c>
      <c r="AX14">
        <f t="shared" si="10"/>
        <v>0</v>
      </c>
      <c r="AY14">
        <f t="shared" si="11"/>
        <v>0</v>
      </c>
      <c r="AZ14" s="190">
        <f t="shared" si="12"/>
        <v>0</v>
      </c>
      <c r="BA14">
        <f t="shared" si="15"/>
        <v>0</v>
      </c>
      <c r="BB14" s="62">
        <v>45710</v>
      </c>
      <c r="BC14" t="s">
        <v>72</v>
      </c>
      <c r="BD14" t="s">
        <v>78</v>
      </c>
      <c r="BE14" t="s">
        <v>339</v>
      </c>
      <c r="BF14" t="s">
        <v>339</v>
      </c>
      <c r="BG14" s="329">
        <v>1</v>
      </c>
    </row>
    <row r="15" spans="2:59">
      <c r="B15" s="62">
        <v>45712</v>
      </c>
      <c r="C15" t="s">
        <v>387</v>
      </c>
      <c r="D15" t="s">
        <v>72</v>
      </c>
      <c r="E15" t="s">
        <v>78</v>
      </c>
      <c r="F15" t="s">
        <v>339</v>
      </c>
      <c r="G15" t="s">
        <v>339</v>
      </c>
      <c r="H15" s="329">
        <v>1</v>
      </c>
      <c r="I15">
        <f>IF(C15="","",COUNTIFS(Tabla1[[#All],[¿Pasó a miembro?]],"Si",Tabla1[[#All],[Tipo Incrito]],"&lt;&gt;Pre-Inscrito",Tabla1[[#All],[llave2]],Gráficos_!C15))</f>
        <v>0</v>
      </c>
      <c r="J15" s="186">
        <f>IF(C15="","",COUNTIFS(Tabla1[[#All],[sem 01]],"=P",Tabla1[[#All],[llave2]],Gráficos_!C15))</f>
        <v>1</v>
      </c>
      <c r="K15">
        <f>IF(C15="","",COUNTIFS(Tabla1[[#All],[sem 02]],"=P",Tabla1[[#All],[llave2]],Gráficos_!C15))</f>
        <v>1</v>
      </c>
      <c r="L15">
        <f>IF(C15="","",COUNTIFS(Tabla1[[#All],[sem 03]],"=P",Tabla1[[#All],[llave2]],Gráficos_!C15))</f>
        <v>0</v>
      </c>
      <c r="M15">
        <f>IF(C15="","",COUNTIFS(Tabla1[[#All],[sem 04]],"=P",Tabla1[[#All],[llave2]],Gráficos_!C15))</f>
        <v>0</v>
      </c>
      <c r="N15">
        <f>IF(C15="","",COUNTIFS(Tabla1[[#All],[sem 05]],"=P",Tabla1[[#All],[llave2]],Gráficos_!C15))</f>
        <v>0</v>
      </c>
      <c r="O15">
        <f>IF(C15="","",COUNTIFS(Tabla1[[#All],[sem 06]],"=P",Tabla1[[#All],[llave2]],Gráficos_!C15))</f>
        <v>0</v>
      </c>
      <c r="P15">
        <f>IF(C15="","",COUNTIFS(Tabla1[[#All],[sem 07]],"=P",Tabla1[[#All],[llave2]],Gráficos_!C15))</f>
        <v>0</v>
      </c>
      <c r="Q15">
        <f>IF(C15="","",COUNTIFS(Tabla1[[#All],[sem 08]],"=P",Tabla1[[#All],[llave2]],Gráficos_!C15))</f>
        <v>0</v>
      </c>
      <c r="R15">
        <f>IF(C15="","",COUNTIFS(Tabla1[[#All],[sem 09]],"=P",Tabla1[[#All],[llave2]],Gráficos_!C15))</f>
        <v>0</v>
      </c>
      <c r="S15">
        <f>IF(C15="","",COUNTIFS(Tabla1[[#All],[sem 10]],"=P",Tabla1[[#All],[llave2]],Gráficos_!C15))</f>
        <v>0</v>
      </c>
      <c r="T15">
        <f>IF(C15="","",COUNTIFS(Tabla1[[#All],[sem 11]],"=P",Tabla1[[#All],[llave2]],Gráficos_!C15))</f>
        <v>0</v>
      </c>
      <c r="U15">
        <f>IF(C15="","",COUNTIFS(Tabla1[[#All],[sem 12]],"=P",Tabla1[[#All],[llave2]],Gráficos_!C15))</f>
        <v>0</v>
      </c>
      <c r="V15">
        <f>IF(C15="","",COUNTIFS(Tabla1[[#All],[sem 13]],"=P",Tabla1[[#All],[llave2]],Gráficos_!C15))</f>
        <v>0</v>
      </c>
      <c r="W15">
        <f>IF(C15="","",COUNTIFS(Tabla1[[#All],[sem 14]],"=P",Tabla1[[#All],[llave2]],Gráficos_!C15))</f>
        <v>0</v>
      </c>
      <c r="X15">
        <f>IF(C15="","",COUNTIFS(Tabla1[[#All],[sem 15]],"=P",Tabla1[[#All],[llave2]],Gráficos_!C15))</f>
        <v>0</v>
      </c>
      <c r="Y15" s="190">
        <f>IF(C15="","",COUNTIFS(Tabla1[[#All],[sem 16]],"=P",Tabla1[[#All],[llave2]],Gráficos_!C15))</f>
        <v>0</v>
      </c>
      <c r="AA15" s="186" t="str">
        <f t="shared" si="0"/>
        <v>Lima - Jesús María-Febrero---45712-Inscrito Nuevo</v>
      </c>
      <c r="AB15" t="str">
        <f t="shared" si="1"/>
        <v>Conócete a ti mismo</v>
      </c>
      <c r="AC15" s="62">
        <f t="shared" si="2"/>
        <v>45712</v>
      </c>
      <c r="AD15" t="str">
        <f t="shared" si="3"/>
        <v>February</v>
      </c>
      <c r="AE15" t="str">
        <f t="shared" si="13"/>
        <v>2025</v>
      </c>
      <c r="AF15" t="str">
        <f t="shared" si="4"/>
        <v>Inscrito Nuevo</v>
      </c>
      <c r="AG15" t="str">
        <f t="shared" si="5"/>
        <v/>
      </c>
      <c r="AH15" t="str">
        <f t="shared" si="6"/>
        <v/>
      </c>
      <c r="AI15">
        <f t="shared" si="7"/>
        <v>1</v>
      </c>
      <c r="AK15">
        <f t="shared" si="14"/>
        <v>1</v>
      </c>
      <c r="AL15">
        <f t="shared" si="8"/>
        <v>1</v>
      </c>
      <c r="AM15">
        <f t="shared" si="8"/>
        <v>0</v>
      </c>
      <c r="AN15">
        <f t="shared" si="8"/>
        <v>0</v>
      </c>
      <c r="AO15">
        <f t="shared" si="8"/>
        <v>0</v>
      </c>
      <c r="AP15">
        <f t="shared" si="8"/>
        <v>0</v>
      </c>
      <c r="AQ15">
        <f t="shared" si="8"/>
        <v>0</v>
      </c>
      <c r="AR15">
        <f t="shared" si="8"/>
        <v>0</v>
      </c>
      <c r="AS15">
        <f t="shared" si="8"/>
        <v>0</v>
      </c>
      <c r="AT15">
        <f t="shared" si="8"/>
        <v>0</v>
      </c>
      <c r="AU15">
        <f t="shared" si="8"/>
        <v>0</v>
      </c>
      <c r="AV15">
        <f t="shared" si="8"/>
        <v>0</v>
      </c>
      <c r="AW15">
        <f t="shared" si="9"/>
        <v>0</v>
      </c>
      <c r="AX15">
        <f t="shared" si="10"/>
        <v>0</v>
      </c>
      <c r="AY15">
        <f t="shared" si="11"/>
        <v>0</v>
      </c>
      <c r="AZ15" s="190">
        <f t="shared" si="12"/>
        <v>0</v>
      </c>
      <c r="BA15">
        <f t="shared" si="15"/>
        <v>0</v>
      </c>
      <c r="BB15" s="62">
        <v>45711</v>
      </c>
      <c r="BC15" t="s">
        <v>72</v>
      </c>
      <c r="BD15" t="s">
        <v>78</v>
      </c>
      <c r="BE15" t="s">
        <v>339</v>
      </c>
      <c r="BF15" t="s">
        <v>339</v>
      </c>
      <c r="BG15" s="329">
        <v>1</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c r="BB16" s="62">
        <v>45712</v>
      </c>
      <c r="BC16" t="s">
        <v>72</v>
      </c>
      <c r="BD16" t="s">
        <v>78</v>
      </c>
      <c r="BE16" t="s">
        <v>339</v>
      </c>
      <c r="BF16" t="s">
        <v>339</v>
      </c>
      <c r="BG16" s="329">
        <v>1</v>
      </c>
    </row>
    <row r="17" spans="9:59">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c r="BB17" t="s">
        <v>339</v>
      </c>
      <c r="BC17" t="s">
        <v>339</v>
      </c>
      <c r="BD17" t="s">
        <v>339</v>
      </c>
      <c r="BE17" t="s">
        <v>339</v>
      </c>
      <c r="BF17" t="s">
        <v>339</v>
      </c>
      <c r="BG17" s="329"/>
    </row>
    <row r="18" spans="9:59">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9">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9">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9">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9">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9">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9">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9">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9">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9">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9">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9">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9">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9">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9">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388</v>
      </c>
      <c r="CQ44" t="s">
        <v>389</v>
      </c>
      <c r="CR44" t="s">
        <v>390</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391</v>
      </c>
      <c r="CN45" t="s">
        <v>391</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45672</v>
      </c>
      <c r="CN46" t="s">
        <v>379</v>
      </c>
      <c r="CO46" t="s">
        <v>78</v>
      </c>
      <c r="CP46" s="329">
        <v>1</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45673</v>
      </c>
      <c r="CN47" t="s">
        <v>380</v>
      </c>
      <c r="CO47" t="s">
        <v>78</v>
      </c>
      <c r="CP47" s="329">
        <v>1</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45674</v>
      </c>
      <c r="CN48" t="s">
        <v>381</v>
      </c>
      <c r="CO48" t="s">
        <v>78</v>
      </c>
      <c r="CP48" s="329">
        <v>1</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45675</v>
      </c>
      <c r="CN49" t="s">
        <v>382</v>
      </c>
      <c r="CO49" t="s">
        <v>78</v>
      </c>
      <c r="CP49" s="329">
        <v>1</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45708</v>
      </c>
      <c r="CN50" t="s">
        <v>383</v>
      </c>
      <c r="CO50" t="s">
        <v>78</v>
      </c>
      <c r="CP50" s="329">
        <v>1</v>
      </c>
      <c r="CQ50" s="329">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s="62">
        <v>45709</v>
      </c>
      <c r="CN51" t="s">
        <v>384</v>
      </c>
      <c r="CO51" t="s">
        <v>78</v>
      </c>
      <c r="CP51" s="329">
        <v>1</v>
      </c>
      <c r="CQ51" s="329">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s="62">
        <v>45710</v>
      </c>
      <c r="CN52" t="s">
        <v>385</v>
      </c>
      <c r="CO52" t="s">
        <v>78</v>
      </c>
      <c r="CP52" s="329">
        <v>1</v>
      </c>
      <c r="CQ52" s="329">
        <v>0</v>
      </c>
      <c r="CR52" s="205">
        <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c r="CM53" s="62">
        <v>45711</v>
      </c>
      <c r="CN53" t="s">
        <v>386</v>
      </c>
      <c r="CO53" t="s">
        <v>78</v>
      </c>
      <c r="CP53" s="329">
        <v>1</v>
      </c>
      <c r="CQ53" s="329">
        <v>0</v>
      </c>
      <c r="CR53" s="205">
        <v>0</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c r="CM54" s="62">
        <v>45712</v>
      </c>
      <c r="CN54" t="s">
        <v>387</v>
      </c>
      <c r="CO54" t="s">
        <v>78</v>
      </c>
      <c r="CP54" s="329">
        <v>1</v>
      </c>
      <c r="CQ54" s="329">
        <v>0</v>
      </c>
      <c r="CR54" s="205">
        <v>0</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c r="CM55" t="s">
        <v>339</v>
      </c>
      <c r="CN55" t="s">
        <v>339</v>
      </c>
      <c r="CO55" t="s">
        <v>339</v>
      </c>
      <c r="CP55" s="329"/>
      <c r="CQ55" s="329"/>
      <c r="CR55" s="205" t="e">
        <v>#DIV/0!</v>
      </c>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c r="CM56" t="s">
        <v>392</v>
      </c>
      <c r="CP56" s="329">
        <v>9</v>
      </c>
      <c r="CQ56" s="329">
        <v>0</v>
      </c>
      <c r="CR56" s="205">
        <v>0</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393</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355</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394</v>
      </c>
      <c r="BQ103" t="s">
        <v>395</v>
      </c>
      <c r="BR103" t="s">
        <v>396</v>
      </c>
      <c r="BS103" t="s">
        <v>397</v>
      </c>
      <c r="BT103" t="s">
        <v>398</v>
      </c>
      <c r="BU103" t="s">
        <v>399</v>
      </c>
      <c r="BV103" t="s">
        <v>400</v>
      </c>
      <c r="BW103" t="s">
        <v>401</v>
      </c>
      <c r="BX103" t="s">
        <v>402</v>
      </c>
      <c r="BY103" t="s">
        <v>403</v>
      </c>
      <c r="BZ103" t="s">
        <v>404</v>
      </c>
      <c r="CA103" t="s">
        <v>405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391</v>
      </c>
      <c r="BL104" t="s">
        <v>391</v>
      </c>
      <c r="BM104" t="s">
        <v>391</v>
      </c>
      <c r="BN104" t="s">
        <v>391</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45672</v>
      </c>
      <c r="BL105" t="s">
        <v>73</v>
      </c>
      <c r="BM105" t="s">
        <v>78</v>
      </c>
      <c r="BN105" t="s">
        <v>391</v>
      </c>
      <c r="BP105" s="329">
        <v>0</v>
      </c>
      <c r="BQ105" s="329">
        <v>1</v>
      </c>
      <c r="BR105" s="329">
        <v>1</v>
      </c>
      <c r="BS105" s="329">
        <v>0</v>
      </c>
      <c r="BT105" s="329">
        <v>1</v>
      </c>
      <c r="BU105" s="329">
        <v>1</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45673</v>
      </c>
      <c r="BL106" t="s">
        <v>73</v>
      </c>
      <c r="BM106" t="s">
        <v>78</v>
      </c>
      <c r="BN106" t="s">
        <v>391</v>
      </c>
      <c r="BP106" s="329">
        <v>0</v>
      </c>
      <c r="BQ106" s="329">
        <v>1</v>
      </c>
      <c r="BR106" s="329">
        <v>1</v>
      </c>
      <c r="BS106" s="329">
        <v>0</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45674</v>
      </c>
      <c r="BL107" t="s">
        <v>73</v>
      </c>
      <c r="BM107" t="s">
        <v>78</v>
      </c>
      <c r="BN107" t="s">
        <v>391</v>
      </c>
      <c r="BP107" s="329">
        <v>1</v>
      </c>
      <c r="BQ107" s="329">
        <v>1</v>
      </c>
      <c r="BR107" s="329">
        <v>1</v>
      </c>
      <c r="BS107" s="329">
        <v>1</v>
      </c>
      <c r="BT107" s="329">
        <v>1</v>
      </c>
      <c r="BU107" s="329">
        <v>1</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45675</v>
      </c>
      <c r="BL108" t="s">
        <v>73</v>
      </c>
      <c r="BM108" t="s">
        <v>78</v>
      </c>
      <c r="BN108" t="s">
        <v>391</v>
      </c>
      <c r="BP108" s="329">
        <v>0</v>
      </c>
      <c r="BQ108" s="329">
        <v>1</v>
      </c>
      <c r="BR108" s="329">
        <v>0</v>
      </c>
      <c r="BS108" s="329">
        <v>1</v>
      </c>
      <c r="BT108" s="329">
        <v>0</v>
      </c>
      <c r="BU108" s="329">
        <v>1</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45708</v>
      </c>
      <c r="BL109" t="s">
        <v>93</v>
      </c>
      <c r="BM109" t="s">
        <v>78</v>
      </c>
      <c r="BN109" t="s">
        <v>391</v>
      </c>
      <c r="BP109" s="329">
        <v>1</v>
      </c>
      <c r="BQ109" s="329">
        <v>1</v>
      </c>
      <c r="BR109" s="329">
        <v>0</v>
      </c>
      <c r="BS109" s="329">
        <v>0</v>
      </c>
      <c r="BT109" s="329">
        <v>0</v>
      </c>
      <c r="BU109" s="329">
        <v>0</v>
      </c>
      <c r="BV109" s="329">
        <v>0</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s="62">
        <v>45709</v>
      </c>
      <c r="BL110" t="s">
        <v>93</v>
      </c>
      <c r="BM110" t="s">
        <v>78</v>
      </c>
      <c r="BN110" t="s">
        <v>391</v>
      </c>
      <c r="BP110" s="329">
        <v>1</v>
      </c>
      <c r="BQ110" s="329">
        <v>1</v>
      </c>
      <c r="BR110" s="329">
        <v>0</v>
      </c>
      <c r="BS110" s="329">
        <v>0</v>
      </c>
      <c r="BT110" s="329">
        <v>0</v>
      </c>
      <c r="BU110" s="329">
        <v>0</v>
      </c>
      <c r="BV110" s="329">
        <v>0</v>
      </c>
      <c r="BW110" s="329">
        <v>0</v>
      </c>
      <c r="BX110" s="329">
        <v>0</v>
      </c>
      <c r="BY110" s="329">
        <v>0</v>
      </c>
      <c r="BZ110" s="329">
        <v>0</v>
      </c>
      <c r="CA110" s="329">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c r="BK111" s="62">
        <v>45710</v>
      </c>
      <c r="BL111" t="s">
        <v>93</v>
      </c>
      <c r="BM111" t="s">
        <v>78</v>
      </c>
      <c r="BN111" t="s">
        <v>391</v>
      </c>
      <c r="BP111" s="329">
        <v>1</v>
      </c>
      <c r="BQ111" s="329">
        <v>1</v>
      </c>
      <c r="BR111" s="329">
        <v>0</v>
      </c>
      <c r="BS111" s="329">
        <v>0</v>
      </c>
      <c r="BT111" s="329">
        <v>0</v>
      </c>
      <c r="BU111" s="329">
        <v>0</v>
      </c>
      <c r="BV111" s="329">
        <v>0</v>
      </c>
      <c r="BW111" s="329">
        <v>0</v>
      </c>
      <c r="BX111" s="329">
        <v>0</v>
      </c>
      <c r="BY111" s="329">
        <v>0</v>
      </c>
      <c r="BZ111" s="329">
        <v>0</v>
      </c>
      <c r="CA111" s="329">
        <v>0</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c r="BK112" s="62">
        <v>45711</v>
      </c>
      <c r="BL112" t="s">
        <v>93</v>
      </c>
      <c r="BM112" t="s">
        <v>78</v>
      </c>
      <c r="BN112" t="s">
        <v>391</v>
      </c>
      <c r="BP112" s="329">
        <v>1</v>
      </c>
      <c r="BQ112" s="329">
        <v>1</v>
      </c>
      <c r="BR112" s="329">
        <v>0</v>
      </c>
      <c r="BS112" s="329">
        <v>0</v>
      </c>
      <c r="BT112" s="329">
        <v>0</v>
      </c>
      <c r="BU112" s="329">
        <v>0</v>
      </c>
      <c r="BV112" s="329">
        <v>0</v>
      </c>
      <c r="BW112" s="329">
        <v>0</v>
      </c>
      <c r="BX112" s="329">
        <v>0</v>
      </c>
      <c r="BY112" s="329">
        <v>0</v>
      </c>
      <c r="BZ112" s="329">
        <v>0</v>
      </c>
      <c r="CA112" s="329">
        <v>0</v>
      </c>
    </row>
    <row r="113" spans="9:79">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c r="BK113" s="62">
        <v>45712</v>
      </c>
      <c r="BL113" t="s">
        <v>93</v>
      </c>
      <c r="BM113" t="s">
        <v>78</v>
      </c>
      <c r="BN113" t="s">
        <v>391</v>
      </c>
      <c r="BP113" s="329">
        <v>1</v>
      </c>
      <c r="BQ113" s="329">
        <v>1</v>
      </c>
      <c r="BR113" s="329">
        <v>0</v>
      </c>
      <c r="BS113" s="329">
        <v>0</v>
      </c>
      <c r="BT113" s="329">
        <v>0</v>
      </c>
      <c r="BU113" s="329">
        <v>0</v>
      </c>
      <c r="BV113" s="329">
        <v>0</v>
      </c>
      <c r="BW113" s="329">
        <v>0</v>
      </c>
      <c r="BX113" s="329">
        <v>0</v>
      </c>
      <c r="BY113" s="329">
        <v>0</v>
      </c>
      <c r="BZ113" s="329">
        <v>0</v>
      </c>
      <c r="CA113" s="329">
        <v>0</v>
      </c>
    </row>
    <row r="114" spans="9:79">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c r="BK114" t="s">
        <v>392</v>
      </c>
      <c r="BP114" s="329">
        <v>6</v>
      </c>
      <c r="BQ114" s="329">
        <v>9</v>
      </c>
      <c r="BR114" s="329">
        <v>3</v>
      </c>
      <c r="BS114" s="329">
        <v>2</v>
      </c>
      <c r="BT114" s="329">
        <v>2</v>
      </c>
      <c r="BU114" s="329">
        <v>3</v>
      </c>
      <c r="BV114" s="329">
        <v>0</v>
      </c>
      <c r="BW114" s="329">
        <v>0</v>
      </c>
      <c r="BX114" s="329">
        <v>0</v>
      </c>
      <c r="BY114" s="329">
        <v>0</v>
      </c>
      <c r="BZ114" s="329">
        <v>0</v>
      </c>
      <c r="CA114" s="329">
        <v>0</v>
      </c>
    </row>
    <row r="115" spans="9:79">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79">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79">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79">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79">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79">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79">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79">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79">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79">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79">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79">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79">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79">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170</v>
      </c>
      <c r="D3" t="s">
        <v>406</v>
      </c>
      <c r="E3" t="s">
        <v>31</v>
      </c>
      <c r="F3" t="s">
        <v>407</v>
      </c>
      <c r="G3" t="s">
        <v>408</v>
      </c>
      <c r="H3" t="s">
        <v>409</v>
      </c>
      <c r="J3" t="s">
        <v>153</v>
      </c>
      <c r="K3" t="s">
        <v>154</v>
      </c>
      <c r="L3" t="s">
        <v>155</v>
      </c>
      <c r="M3" t="s">
        <v>410</v>
      </c>
    </row>
    <row r="4" spans="2:16">
      <c r="D4" t="s">
        <v>411</v>
      </c>
      <c r="J4" s="19" t="s">
        <v>80</v>
      </c>
      <c r="K4" s="19" t="s">
        <v>80</v>
      </c>
      <c r="L4" s="19" t="s">
        <v>80</v>
      </c>
      <c r="M4" s="19" t="str">
        <f>+J4&amp;K4&amp;L4</f>
        <v>PPP</v>
      </c>
      <c r="N4" t="s">
        <v>172</v>
      </c>
      <c r="O4" t="str">
        <f>+SUBSTITUTE(J4&amp;K4&amp;L4,"P","T")</f>
        <v>TTT</v>
      </c>
      <c r="P4" t="str">
        <f>+SUBSTITUTE(J4&amp;K4&amp;L4,"T","P")</f>
        <v>PPP</v>
      </c>
    </row>
    <row r="5" spans="2:16">
      <c r="J5" s="19" t="s">
        <v>80</v>
      </c>
      <c r="K5" s="19" t="s">
        <v>80</v>
      </c>
      <c r="L5" s="19" t="s">
        <v>79</v>
      </c>
      <c r="M5" s="19" t="str">
        <f t="shared" ref="M5:M15" si="0">+J5&amp;K5&amp;L5</f>
        <v>PPF</v>
      </c>
      <c r="N5" t="s">
        <v>172</v>
      </c>
      <c r="O5" t="str">
        <f t="shared" ref="O5:O6" si="1">+SUBSTITUTE(J5&amp;K5&amp;L5,"P","T")</f>
        <v>TTF</v>
      </c>
    </row>
    <row r="6" spans="2:16">
      <c r="J6" s="19" t="s">
        <v>80</v>
      </c>
      <c r="K6" s="19" t="s">
        <v>79</v>
      </c>
      <c r="L6" s="19" t="s">
        <v>80</v>
      </c>
      <c r="M6" s="19" t="str">
        <f t="shared" si="0"/>
        <v>PFP</v>
      </c>
      <c r="N6" t="s">
        <v>172</v>
      </c>
      <c r="O6" t="str">
        <f t="shared" si="1"/>
        <v>TFT</v>
      </c>
    </row>
    <row r="7" spans="2:16">
      <c r="J7" t="s">
        <v>80</v>
      </c>
      <c r="K7" t="s">
        <v>79</v>
      </c>
      <c r="L7" t="s">
        <v>79</v>
      </c>
      <c r="M7" t="str">
        <f t="shared" si="0"/>
        <v>PFF</v>
      </c>
      <c r="N7" s="20" t="s">
        <v>222</v>
      </c>
    </row>
    <row r="8" spans="2:16">
      <c r="J8" s="19" t="s">
        <v>79</v>
      </c>
      <c r="K8" s="19" t="s">
        <v>80</v>
      </c>
      <c r="L8" s="19" t="s">
        <v>80</v>
      </c>
      <c r="M8" s="19" t="str">
        <f t="shared" si="0"/>
        <v>FPP</v>
      </c>
      <c r="N8" t="s">
        <v>172</v>
      </c>
    </row>
    <row r="9" spans="2:16">
      <c r="J9" t="s">
        <v>79</v>
      </c>
      <c r="K9" t="s">
        <v>80</v>
      </c>
      <c r="L9" t="s">
        <v>79</v>
      </c>
      <c r="M9" t="str">
        <f t="shared" si="0"/>
        <v>FPF</v>
      </c>
      <c r="N9" s="20" t="s">
        <v>222</v>
      </c>
    </row>
    <row r="10" spans="2:16">
      <c r="J10" s="19" t="s">
        <v>79</v>
      </c>
      <c r="K10" s="19" t="s">
        <v>79</v>
      </c>
      <c r="L10" s="19" t="s">
        <v>80</v>
      </c>
      <c r="M10" s="19" t="str">
        <f t="shared" si="0"/>
        <v>FFP</v>
      </c>
      <c r="N10" t="s">
        <v>172</v>
      </c>
    </row>
    <row r="11" spans="2:16">
      <c r="J11" t="s">
        <v>79</v>
      </c>
      <c r="K11" t="s">
        <v>79</v>
      </c>
      <c r="L11" t="s">
        <v>79</v>
      </c>
      <c r="M11" t="str">
        <f t="shared" si="0"/>
        <v>FFF</v>
      </c>
      <c r="N11" s="20" t="s">
        <v>222</v>
      </c>
    </row>
    <row r="12" spans="2:16">
      <c r="E12" t="s">
        <v>412</v>
      </c>
    </row>
    <row r="13" spans="2:16">
      <c r="J13" t="s">
        <v>80</v>
      </c>
      <c r="K13" t="s">
        <v>80</v>
      </c>
      <c r="L13" t="s">
        <v>265</v>
      </c>
      <c r="M13" t="str">
        <f t="shared" si="0"/>
        <v>PPCG</v>
      </c>
      <c r="N13" s="23" t="s">
        <v>172</v>
      </c>
    </row>
    <row r="14" spans="2:16">
      <c r="J14" s="23" t="s">
        <v>80</v>
      </c>
      <c r="K14" s="23" t="s">
        <v>265</v>
      </c>
      <c r="L14" s="23" t="s">
        <v>80</v>
      </c>
      <c r="M14" t="str">
        <f t="shared" si="0"/>
        <v>PCGP</v>
      </c>
      <c r="N14" s="23" t="s">
        <v>172</v>
      </c>
    </row>
    <row r="15" spans="2:16">
      <c r="J15" s="23" t="s">
        <v>265</v>
      </c>
      <c r="K15" s="23" t="s">
        <v>80</v>
      </c>
      <c r="L15" s="23" t="s">
        <v>80</v>
      </c>
      <c r="M15" t="str">
        <f t="shared" si="0"/>
        <v>CGPP</v>
      </c>
      <c r="N15" s="23" t="s">
        <v>172</v>
      </c>
    </row>
    <row r="18" spans="17:18" ht="15">
      <c r="Q18" s="21" t="s">
        <v>413</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414</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415</v>
      </c>
      <c r="D4" s="106" t="s">
        <v>416</v>
      </c>
      <c r="E4" s="106" t="s">
        <v>417</v>
      </c>
      <c r="F4" s="87" t="s">
        <v>418</v>
      </c>
      <c r="G4" s="83"/>
      <c r="H4" s="101" t="s">
        <v>419</v>
      </c>
      <c r="I4" s="88"/>
      <c r="J4" s="88"/>
      <c r="K4" s="85"/>
      <c r="L4" s="83"/>
      <c r="M4" s="83"/>
    </row>
    <row r="5" spans="1:13">
      <c r="A5" s="83"/>
      <c r="B5" s="96" t="s">
        <v>420</v>
      </c>
      <c r="C5" s="107" t="s">
        <v>80</v>
      </c>
      <c r="D5" s="108" t="s">
        <v>80</v>
      </c>
      <c r="E5" s="108" t="s">
        <v>80</v>
      </c>
      <c r="F5" s="89" t="s">
        <v>175</v>
      </c>
      <c r="G5" s="83"/>
      <c r="H5" s="85" t="s">
        <v>421</v>
      </c>
      <c r="I5" s="83"/>
      <c r="J5" s="83"/>
      <c r="K5" s="85"/>
      <c r="L5" s="90"/>
      <c r="M5" s="90"/>
    </row>
    <row r="6" spans="1:13">
      <c r="A6" s="83"/>
      <c r="B6" s="97" t="s">
        <v>420</v>
      </c>
      <c r="C6" s="107" t="s">
        <v>80</v>
      </c>
      <c r="D6" s="108" t="s">
        <v>80</v>
      </c>
      <c r="E6" s="108" t="s">
        <v>79</v>
      </c>
      <c r="F6" s="89" t="s">
        <v>175</v>
      </c>
      <c r="G6" s="83"/>
      <c r="H6" s="85" t="s">
        <v>422</v>
      </c>
      <c r="I6" s="83"/>
      <c r="J6" s="83"/>
      <c r="K6" s="85"/>
      <c r="L6" s="90"/>
      <c r="M6" s="90"/>
    </row>
    <row r="7" spans="1:13" ht="15" customHeight="1">
      <c r="A7" s="83"/>
      <c r="B7" s="97" t="s">
        <v>420</v>
      </c>
      <c r="C7" s="107" t="s">
        <v>80</v>
      </c>
      <c r="D7" s="108" t="s">
        <v>79</v>
      </c>
      <c r="E7" s="108" t="s">
        <v>80</v>
      </c>
      <c r="F7" s="89" t="s">
        <v>175</v>
      </c>
      <c r="G7" s="83"/>
      <c r="H7" s="109"/>
      <c r="I7" s="83"/>
      <c r="J7" s="83"/>
      <c r="K7" s="83"/>
      <c r="L7" s="83"/>
      <c r="M7" s="90"/>
    </row>
    <row r="8" spans="1:13">
      <c r="A8" s="83"/>
      <c r="B8" s="97" t="s">
        <v>420</v>
      </c>
      <c r="C8" s="107" t="s">
        <v>79</v>
      </c>
      <c r="D8" s="108" t="s">
        <v>79</v>
      </c>
      <c r="E8" s="108" t="s">
        <v>80</v>
      </c>
      <c r="F8" s="89" t="s">
        <v>175</v>
      </c>
      <c r="G8" s="83"/>
      <c r="H8" s="109" t="s">
        <v>423</v>
      </c>
      <c r="I8" s="83"/>
      <c r="J8" s="83"/>
      <c r="K8" s="83"/>
      <c r="L8" s="90"/>
      <c r="M8" s="90"/>
    </row>
    <row r="9" spans="1:13">
      <c r="A9" s="83"/>
      <c r="B9" s="97" t="s">
        <v>420</v>
      </c>
      <c r="C9" s="107" t="s">
        <v>80</v>
      </c>
      <c r="D9" s="108" t="s">
        <v>79</v>
      </c>
      <c r="E9" s="108" t="s">
        <v>79</v>
      </c>
      <c r="F9" s="91" t="s">
        <v>193</v>
      </c>
      <c r="G9" s="83"/>
      <c r="H9" s="83" t="s">
        <v>424</v>
      </c>
      <c r="I9" s="83"/>
      <c r="J9" s="83"/>
      <c r="K9" s="83"/>
      <c r="L9" s="90"/>
      <c r="M9" s="90"/>
    </row>
    <row r="10" spans="1:13">
      <c r="A10" s="83"/>
      <c r="B10" s="97" t="s">
        <v>420</v>
      </c>
      <c r="C10" s="107" t="s">
        <v>79</v>
      </c>
      <c r="D10" s="108" t="s">
        <v>79</v>
      </c>
      <c r="E10" s="108" t="s">
        <v>79</v>
      </c>
      <c r="F10" s="91" t="s">
        <v>193</v>
      </c>
      <c r="G10" s="83"/>
      <c r="H10" s="85"/>
      <c r="I10" s="83"/>
      <c r="J10" s="83"/>
      <c r="K10" s="85"/>
      <c r="L10" s="90"/>
      <c r="M10" s="90"/>
    </row>
    <row r="11" spans="1:13">
      <c r="A11" s="83"/>
      <c r="B11" s="97" t="s">
        <v>420</v>
      </c>
      <c r="C11" s="107" t="s">
        <v>79</v>
      </c>
      <c r="D11" s="108" t="s">
        <v>80</v>
      </c>
      <c r="E11" s="108" t="s">
        <v>79</v>
      </c>
      <c r="F11" s="91" t="s">
        <v>193</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425</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426</v>
      </c>
      <c r="D16" s="86" t="s">
        <v>427</v>
      </c>
      <c r="E16" s="86" t="s">
        <v>428</v>
      </c>
      <c r="F16" s="87" t="s">
        <v>73</v>
      </c>
      <c r="G16" s="87" t="s">
        <v>93</v>
      </c>
      <c r="H16" s="102" t="s">
        <v>118</v>
      </c>
      <c r="I16" s="87" t="s">
        <v>119</v>
      </c>
      <c r="J16" s="87" t="s">
        <v>120</v>
      </c>
      <c r="K16" s="85"/>
      <c r="L16" s="83"/>
      <c r="M16" s="83"/>
    </row>
    <row r="17" spans="1:13">
      <c r="A17" s="83"/>
      <c r="B17" s="96" t="s">
        <v>420</v>
      </c>
      <c r="C17" s="100" t="s">
        <v>73</v>
      </c>
      <c r="D17" s="89">
        <v>5</v>
      </c>
      <c r="E17" s="95">
        <v>4</v>
      </c>
      <c r="F17" s="89">
        <v>4</v>
      </c>
      <c r="G17" s="89">
        <v>4</v>
      </c>
      <c r="H17" s="100">
        <v>4</v>
      </c>
      <c r="I17" s="89" t="s">
        <v>226</v>
      </c>
      <c r="J17" s="89" t="s">
        <v>226</v>
      </c>
      <c r="K17" s="85"/>
      <c r="L17" s="83"/>
      <c r="M17" s="83"/>
    </row>
    <row r="18" spans="1:13">
      <c r="A18" s="83"/>
      <c r="B18" s="97" t="s">
        <v>188</v>
      </c>
      <c r="C18" s="100" t="s">
        <v>93</v>
      </c>
      <c r="D18" s="89">
        <v>10</v>
      </c>
      <c r="E18" s="91">
        <v>8</v>
      </c>
      <c r="F18" s="89" t="s">
        <v>226</v>
      </c>
      <c r="G18" s="89">
        <v>8</v>
      </c>
      <c r="H18" s="100">
        <v>8</v>
      </c>
      <c r="I18" s="89">
        <v>8</v>
      </c>
      <c r="J18" s="89" t="s">
        <v>226</v>
      </c>
      <c r="K18" s="85"/>
      <c r="L18" s="83"/>
      <c r="M18" s="83"/>
    </row>
    <row r="19" spans="1:13">
      <c r="A19" s="83"/>
      <c r="B19" s="97" t="s">
        <v>219</v>
      </c>
      <c r="C19" s="100" t="s">
        <v>93</v>
      </c>
      <c r="D19" s="89">
        <v>7</v>
      </c>
      <c r="E19" s="91">
        <v>5</v>
      </c>
      <c r="F19" s="89" t="s">
        <v>226</v>
      </c>
      <c r="G19" s="89">
        <v>5</v>
      </c>
      <c r="H19" s="100">
        <v>5</v>
      </c>
      <c r="I19" s="89">
        <v>5</v>
      </c>
      <c r="J19" s="89" t="s">
        <v>226</v>
      </c>
      <c r="K19" s="85"/>
      <c r="L19" s="83"/>
      <c r="M19" s="83"/>
    </row>
    <row r="20" spans="1:13">
      <c r="A20" s="83"/>
      <c r="B20" s="97" t="s">
        <v>429</v>
      </c>
      <c r="C20" s="100" t="s">
        <v>118</v>
      </c>
      <c r="D20" s="89">
        <v>8</v>
      </c>
      <c r="E20" s="91">
        <v>6</v>
      </c>
      <c r="F20" s="89" t="s">
        <v>226</v>
      </c>
      <c r="G20" s="89" t="s">
        <v>226</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430</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2025-03-12T03:50:46Z</dcterms:modified>
  <cp:category/>
  <cp:contentStatus/>
</cp:coreProperties>
</file>