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konya\Dropbox\PRAProject\Field survey data\"/>
    </mc:Choice>
  </mc:AlternateContent>
  <xr:revisionPtr revIDLastSave="5" documentId="8_{1A7E6C63-F337-4653-A581-F1C20BD87F58}" xr6:coauthVersionLast="45" xr6:coauthVersionMax="45" xr10:uidLastSave="{A6E47D25-2F6F-46FA-AC91-EC98CECDB1C4}"/>
  <bookViews>
    <workbookView xWindow="-110" yWindow="-110" windowWidth="19420" windowHeight="10420" firstSheet="3" xr2:uid="{00000000-000D-0000-FFFF-FFFF00000000}"/>
  </bookViews>
  <sheets>
    <sheet name="Potato" sheetId="1" r:id="rId1"/>
    <sheet name="Sweetpotato" sheetId="2" r:id="rId2"/>
    <sheet name="PotatoRwandaS1_ELISA" sheetId="3" r:id="rId3"/>
    <sheet name="PotatoRwandaS1_LMF Parasitoids" sheetId="9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2" l="1"/>
  <c r="T145" i="2"/>
  <c r="T117" i="2"/>
  <c r="P59" i="2"/>
  <c r="P53" i="2"/>
  <c r="V212" i="2"/>
  <c r="V211" i="2"/>
  <c r="V210" i="2"/>
  <c r="T212" i="2"/>
  <c r="T211" i="2"/>
  <c r="P212" i="2"/>
  <c r="P211" i="2"/>
  <c r="P210" i="2"/>
  <c r="AK209" i="2"/>
  <c r="AK208" i="2"/>
  <c r="AM206" i="2"/>
  <c r="AL206" i="2"/>
  <c r="V209" i="2"/>
  <c r="V208" i="2"/>
  <c r="V207" i="2"/>
  <c r="V206" i="2"/>
  <c r="T208" i="2"/>
  <c r="T207" i="2"/>
  <c r="P208" i="2"/>
  <c r="P207" i="2"/>
  <c r="P206" i="2"/>
  <c r="AK205" i="2"/>
  <c r="AK202" i="2"/>
  <c r="V205" i="2"/>
  <c r="V204" i="2"/>
  <c r="V203" i="2"/>
  <c r="V202" i="2"/>
  <c r="T204" i="2"/>
  <c r="P205" i="2"/>
  <c r="P204" i="2"/>
  <c r="P203" i="2"/>
  <c r="P202" i="2"/>
  <c r="AM198" i="2"/>
  <c r="AL198" i="2"/>
  <c r="AK199" i="2"/>
  <c r="AJ199" i="2"/>
  <c r="V201" i="2"/>
  <c r="V200" i="2"/>
  <c r="T201" i="2"/>
  <c r="T200" i="2"/>
  <c r="P201" i="2"/>
  <c r="P200" i="2"/>
  <c r="AM197" i="2"/>
  <c r="AL197" i="2"/>
  <c r="AM194" i="2"/>
  <c r="AL194" i="2"/>
  <c r="V199" i="2"/>
  <c r="V198" i="2"/>
  <c r="V197" i="2"/>
  <c r="V196" i="2"/>
  <c r="V195" i="2"/>
  <c r="T199" i="2"/>
  <c r="T198" i="2"/>
  <c r="T197" i="2"/>
  <c r="T196" i="2"/>
  <c r="T194" i="2"/>
  <c r="V194" i="2"/>
  <c r="P199" i="2"/>
  <c r="P198" i="2"/>
  <c r="P197" i="2"/>
  <c r="P196" i="2"/>
  <c r="P195" i="2"/>
  <c r="P194" i="2"/>
  <c r="V191" i="2"/>
  <c r="V190" i="2"/>
  <c r="V193" i="2"/>
  <c r="V192" i="2"/>
  <c r="T193" i="2"/>
  <c r="T192" i="2"/>
  <c r="T191" i="2"/>
  <c r="T190" i="2"/>
  <c r="P193" i="2"/>
  <c r="P192" i="2"/>
  <c r="P191" i="2"/>
  <c r="P190" i="2"/>
  <c r="AM187" i="2"/>
  <c r="AL187" i="2"/>
  <c r="AK187" i="2"/>
  <c r="AJ187" i="2"/>
  <c r="V189" i="2"/>
  <c r="V188" i="2"/>
  <c r="V187" i="2"/>
  <c r="V186" i="2"/>
  <c r="T189" i="2"/>
  <c r="T188" i="2"/>
  <c r="T187" i="2"/>
  <c r="T186" i="2"/>
  <c r="P189" i="2"/>
  <c r="P188" i="2"/>
  <c r="P187" i="2"/>
  <c r="P186" i="2"/>
  <c r="AM184" i="2"/>
  <c r="AL184" i="2"/>
  <c r="V185" i="2"/>
  <c r="V184" i="2"/>
  <c r="V183" i="2"/>
  <c r="V182" i="2"/>
  <c r="T185" i="2"/>
  <c r="T184" i="2"/>
  <c r="T182" i="2"/>
  <c r="P185" i="2"/>
  <c r="P184" i="2"/>
  <c r="P183" i="2"/>
  <c r="P182" i="2"/>
  <c r="V181" i="2"/>
  <c r="V180" i="2"/>
  <c r="V179" i="2"/>
  <c r="T181" i="2"/>
  <c r="T179" i="2"/>
  <c r="P181" i="2"/>
  <c r="P180" i="2"/>
  <c r="P179" i="2"/>
  <c r="AK178" i="2"/>
  <c r="V178" i="2"/>
  <c r="T178" i="2"/>
  <c r="P178" i="2"/>
  <c r="AK177" i="2"/>
  <c r="V177" i="2"/>
  <c r="P177" i="2"/>
  <c r="AM176" i="2"/>
  <c r="AL176" i="2"/>
  <c r="AK176" i="2"/>
  <c r="V176" i="2"/>
  <c r="P176" i="2"/>
  <c r="AK175" i="2"/>
  <c r="V175" i="2"/>
  <c r="P175" i="2"/>
  <c r="V174" i="2"/>
  <c r="T174" i="2"/>
  <c r="P174" i="2"/>
  <c r="V173" i="2"/>
  <c r="T173" i="2"/>
  <c r="T172" i="2"/>
  <c r="P173" i="2"/>
  <c r="AL172" i="2"/>
  <c r="AM172" i="2"/>
  <c r="V172" i="2"/>
  <c r="P172" i="2"/>
  <c r="V171" i="2"/>
  <c r="T171" i="2"/>
  <c r="P171" i="2"/>
  <c r="V170" i="2"/>
  <c r="P170" i="2"/>
  <c r="AE169" i="2"/>
  <c r="V169" i="2"/>
  <c r="T169" i="2"/>
  <c r="P169" i="2"/>
  <c r="V168" i="2"/>
  <c r="T168" i="2"/>
  <c r="P168" i="2"/>
  <c r="V167" i="2"/>
  <c r="P167" i="2"/>
  <c r="V166" i="2"/>
  <c r="P166" i="2"/>
  <c r="P165" i="2"/>
  <c r="V165" i="2"/>
  <c r="V164" i="2"/>
  <c r="V163" i="2"/>
  <c r="P163" i="2"/>
  <c r="AU48" i="1"/>
  <c r="AU47" i="1"/>
  <c r="AU45" i="1"/>
  <c r="AU51" i="1"/>
  <c r="AU50" i="1"/>
  <c r="AU52" i="1"/>
  <c r="AU42" i="1"/>
  <c r="AU41" i="1"/>
  <c r="AU40" i="1"/>
  <c r="AU39" i="1"/>
  <c r="AU55" i="1"/>
  <c r="AU61" i="1"/>
  <c r="AU43" i="1"/>
  <c r="AU49" i="1"/>
  <c r="AU53" i="1"/>
  <c r="AU59" i="1"/>
  <c r="AU58" i="1"/>
  <c r="AU65" i="1"/>
  <c r="AU70" i="1"/>
  <c r="AU57" i="1"/>
  <c r="AU56" i="1"/>
  <c r="AU79" i="1"/>
  <c r="AU44" i="1"/>
  <c r="AU72" i="1"/>
  <c r="AU75" i="1"/>
  <c r="AU64" i="1"/>
  <c r="AU68" i="1"/>
  <c r="AU63" i="1"/>
  <c r="AU69" i="1"/>
  <c r="AU67" i="1"/>
  <c r="AU76" i="1"/>
  <c r="AU74" i="1"/>
  <c r="AU78" i="1"/>
  <c r="AU77" i="1"/>
  <c r="AU71" i="1"/>
  <c r="AU66" i="1"/>
  <c r="AU73" i="1"/>
  <c r="AU60" i="1"/>
  <c r="AU54" i="1"/>
  <c r="AU46" i="1"/>
  <c r="AU162" i="1"/>
  <c r="AU155" i="1"/>
  <c r="AU144" i="1"/>
  <c r="AU142" i="1"/>
  <c r="AU141" i="1"/>
  <c r="AU153" i="1"/>
  <c r="AU148" i="1"/>
  <c r="AU158" i="1"/>
  <c r="AU169" i="1"/>
  <c r="AU187" i="1"/>
  <c r="AU157" i="1"/>
  <c r="AU160" i="1"/>
  <c r="AU168" i="1"/>
  <c r="AU151" i="1"/>
  <c r="AU154" i="1"/>
  <c r="AU145" i="1"/>
  <c r="AU143" i="1"/>
  <c r="AU192" i="1"/>
  <c r="AU191" i="1"/>
  <c r="AU195" i="1"/>
  <c r="AU190" i="1"/>
  <c r="AU178" i="1"/>
  <c r="AU186" i="1"/>
  <c r="AU194" i="1"/>
  <c r="AU175" i="1"/>
  <c r="AU171" i="1"/>
  <c r="AU166" i="1"/>
  <c r="AU179" i="1"/>
  <c r="AU184" i="1"/>
  <c r="AU180" i="1"/>
  <c r="AU185" i="1"/>
  <c r="AU167" i="1"/>
  <c r="AU173" i="1"/>
  <c r="AU183" i="1"/>
  <c r="AU182" i="1"/>
  <c r="AU172" i="1"/>
  <c r="AU188" i="1"/>
  <c r="AU176" i="1"/>
  <c r="AU174" i="1"/>
  <c r="AU163" i="1"/>
  <c r="AU159" i="1"/>
  <c r="AU165" i="1"/>
  <c r="AU156" i="1"/>
  <c r="AU149" i="1"/>
  <c r="AU147" i="1"/>
  <c r="AU152" i="1"/>
  <c r="AU170" i="1"/>
  <c r="AU181" i="1"/>
  <c r="AU177" i="1"/>
  <c r="AU161" i="1"/>
  <c r="AU189" i="1"/>
  <c r="AU150" i="1"/>
  <c r="AU193" i="1"/>
  <c r="AU164" i="1"/>
  <c r="AU146" i="1"/>
  <c r="Y48" i="1"/>
  <c r="X48" i="1"/>
  <c r="O48" i="1"/>
  <c r="AA47" i="1"/>
  <c r="AA45" i="1"/>
  <c r="Y47" i="1"/>
  <c r="X47" i="1"/>
  <c r="O47" i="1"/>
  <c r="AD45" i="1"/>
  <c r="AC45" i="1"/>
  <c r="Y45" i="1"/>
  <c r="X45" i="1"/>
  <c r="O45" i="1"/>
  <c r="X51" i="1"/>
  <c r="Y51" i="1"/>
  <c r="O51" i="1"/>
  <c r="L51" i="1"/>
  <c r="AA50" i="1"/>
  <c r="Y50" i="1"/>
  <c r="X50" i="1"/>
  <c r="O50" i="1"/>
  <c r="O52" i="1"/>
  <c r="Y52" i="1"/>
  <c r="X52" i="1"/>
  <c r="AD42" i="1"/>
  <c r="AC42" i="1"/>
  <c r="AA42" i="1"/>
  <c r="Y42" i="1"/>
  <c r="X42" i="1"/>
  <c r="O42" i="1"/>
  <c r="AD41" i="1"/>
  <c r="AC41" i="1"/>
  <c r="Y41" i="1"/>
  <c r="O41" i="1"/>
  <c r="AA40" i="1"/>
  <c r="Y40" i="1"/>
  <c r="X40" i="1"/>
  <c r="O40" i="1"/>
  <c r="AA39" i="1"/>
  <c r="Y39" i="1"/>
  <c r="X39" i="1"/>
  <c r="O39" i="1"/>
  <c r="AD55" i="1"/>
  <c r="AC55" i="1"/>
  <c r="Y55" i="1"/>
  <c r="X55" i="1"/>
  <c r="O55" i="1"/>
  <c r="AD61" i="1"/>
  <c r="AC61" i="1"/>
  <c r="AA61" i="1"/>
  <c r="Y61" i="1"/>
  <c r="X61" i="1"/>
  <c r="O61" i="1"/>
  <c r="AA43" i="1"/>
  <c r="Y43" i="1"/>
  <c r="X43" i="1"/>
  <c r="O43" i="1"/>
  <c r="AA49" i="1"/>
  <c r="Y49" i="1"/>
  <c r="X49" i="1"/>
  <c r="O49" i="1"/>
  <c r="AD59" i="1"/>
  <c r="AD53" i="1"/>
  <c r="AC53" i="1"/>
  <c r="AA53" i="1"/>
  <c r="Y53" i="1"/>
  <c r="X53" i="1"/>
  <c r="O53" i="1"/>
  <c r="AC59" i="1"/>
  <c r="AA59" i="1"/>
  <c r="Y59" i="1"/>
  <c r="X59" i="1"/>
  <c r="O59" i="1"/>
  <c r="AD58" i="1"/>
  <c r="AC58" i="1"/>
  <c r="AA58" i="1"/>
  <c r="Y58" i="1"/>
  <c r="X58" i="1"/>
  <c r="O58" i="1"/>
  <c r="AD65" i="1"/>
  <c r="AC65" i="1"/>
  <c r="Y65" i="1"/>
  <c r="X65" i="1"/>
  <c r="O65" i="1"/>
  <c r="Y70" i="1"/>
  <c r="X70" i="1"/>
  <c r="O70" i="1"/>
  <c r="O57" i="1"/>
  <c r="AD57" i="1"/>
  <c r="AC57" i="1"/>
  <c r="AA57" i="1"/>
  <c r="Y57" i="1"/>
  <c r="X57" i="1"/>
  <c r="AD56" i="1"/>
  <c r="AC56" i="1"/>
  <c r="Y56" i="1"/>
  <c r="X56" i="1"/>
  <c r="O56" i="1"/>
  <c r="AD79" i="1"/>
  <c r="AC79" i="1"/>
  <c r="Y79" i="1"/>
  <c r="X79" i="1"/>
  <c r="O79" i="1"/>
  <c r="AA44" i="1"/>
  <c r="Y44" i="1"/>
  <c r="X44" i="1"/>
  <c r="O44" i="1"/>
  <c r="AD72" i="1"/>
  <c r="AC72" i="1"/>
  <c r="O72" i="1"/>
  <c r="AD75" i="1"/>
  <c r="AC75" i="1"/>
  <c r="Y75" i="1"/>
  <c r="O75" i="1"/>
  <c r="Y64" i="1"/>
  <c r="X64" i="1"/>
  <c r="O64" i="1"/>
  <c r="AD68" i="1"/>
  <c r="AC68" i="1"/>
  <c r="Y68" i="1"/>
  <c r="X68" i="1"/>
  <c r="O68" i="1"/>
  <c r="AD69" i="1"/>
  <c r="AC69" i="1"/>
  <c r="AA69" i="1"/>
  <c r="Y69" i="1"/>
  <c r="X69" i="1"/>
  <c r="O69" i="1"/>
  <c r="O63" i="1"/>
  <c r="X63" i="1"/>
  <c r="Y63" i="1"/>
  <c r="AC63" i="1"/>
  <c r="AD63" i="1"/>
  <c r="AD67" i="1"/>
  <c r="Y67" i="1"/>
  <c r="X67" i="1"/>
  <c r="O67" i="1"/>
  <c r="AD76" i="1"/>
  <c r="AC76" i="1"/>
  <c r="AA76" i="1"/>
  <c r="X76" i="1"/>
  <c r="Y76" i="1"/>
  <c r="O76" i="1"/>
  <c r="L76" i="1"/>
  <c r="AC74" i="1"/>
  <c r="AC78" i="1"/>
  <c r="AD77" i="1"/>
  <c r="AD74" i="1"/>
  <c r="AD78" i="1"/>
  <c r="Y74" i="1"/>
  <c r="X74" i="1"/>
  <c r="O74" i="1"/>
  <c r="Y78" i="1"/>
  <c r="X78" i="1"/>
  <c r="O78" i="1"/>
  <c r="AC77" i="1"/>
  <c r="Y77" i="1"/>
  <c r="X77" i="1"/>
  <c r="O77" i="1"/>
  <c r="AD71" i="1"/>
  <c r="AC71" i="1"/>
  <c r="Y71" i="1"/>
  <c r="X71" i="1"/>
  <c r="O71" i="1"/>
  <c r="AD66" i="1"/>
  <c r="AC66" i="1"/>
  <c r="Y66" i="1"/>
  <c r="X66" i="1"/>
  <c r="O66" i="1"/>
  <c r="Y73" i="1"/>
  <c r="X73" i="1"/>
  <c r="O73" i="1"/>
  <c r="AD60" i="1"/>
  <c r="AC60" i="1"/>
  <c r="Y60" i="1"/>
  <c r="X60" i="1"/>
  <c r="O60" i="1"/>
  <c r="AD62" i="1"/>
  <c r="AC62" i="1"/>
  <c r="Y62" i="1"/>
  <c r="O62" i="1"/>
  <c r="Y54" i="1"/>
  <c r="X54" i="1"/>
  <c r="O54" i="1"/>
  <c r="AA46" i="1"/>
  <c r="Y46" i="1"/>
  <c r="X46" i="1"/>
  <c r="O46" i="1"/>
  <c r="AS27" i="1"/>
  <c r="AQ27" i="1"/>
  <c r="Y27" i="1"/>
  <c r="O27" i="1"/>
  <c r="AS38" i="1"/>
  <c r="AQ38" i="1"/>
  <c r="Y38" i="1"/>
  <c r="O38" i="1"/>
  <c r="AS29" i="1"/>
  <c r="AQ29" i="1"/>
  <c r="Y29" i="1"/>
  <c r="O29" i="1"/>
  <c r="AS24" i="1"/>
  <c r="AQ24" i="1"/>
  <c r="Y24" i="1"/>
  <c r="O24" i="1"/>
  <c r="AS19" i="1"/>
  <c r="AQ19" i="1"/>
  <c r="Y19" i="1"/>
  <c r="X19" i="1"/>
  <c r="O19" i="1"/>
  <c r="AS17" i="1"/>
  <c r="AQ17" i="1"/>
  <c r="AA17" i="1"/>
  <c r="Y17" i="1"/>
  <c r="X17" i="1"/>
  <c r="O17" i="1"/>
  <c r="AS23" i="1"/>
  <c r="AQ23" i="1"/>
  <c r="AM23" i="1"/>
  <c r="Y23" i="1"/>
  <c r="O23" i="1"/>
  <c r="AS7" i="1"/>
  <c r="AQ7" i="1"/>
  <c r="Y7" i="1"/>
  <c r="O7" i="1"/>
  <c r="AS12" i="1"/>
  <c r="AQ12" i="1"/>
  <c r="Y12" i="1"/>
  <c r="O12" i="1"/>
  <c r="AS20" i="1"/>
  <c r="AQ20" i="1"/>
  <c r="Y20" i="1"/>
  <c r="O20" i="1"/>
  <c r="AS26" i="1"/>
  <c r="AQ26" i="1"/>
  <c r="Y26" i="1"/>
  <c r="O26" i="1"/>
  <c r="AS31" i="1"/>
  <c r="Y31" i="1"/>
  <c r="O31" i="1"/>
  <c r="AS13" i="1"/>
  <c r="AQ13" i="1"/>
  <c r="Y13" i="1"/>
  <c r="O13" i="1"/>
  <c r="AS10" i="1"/>
  <c r="AQ10" i="1"/>
  <c r="AA10" i="1"/>
  <c r="Y10" i="1"/>
  <c r="O10" i="1"/>
  <c r="AS9" i="1"/>
  <c r="Y9" i="1"/>
  <c r="O9" i="1"/>
  <c r="AS14" i="1"/>
  <c r="Y14" i="1"/>
  <c r="O14" i="1"/>
  <c r="AS8" i="1"/>
  <c r="Y8" i="1"/>
  <c r="O8" i="1"/>
  <c r="AS6" i="1"/>
  <c r="O6" i="1"/>
  <c r="AS5" i="1"/>
  <c r="AQ5" i="1"/>
  <c r="AA5" i="1"/>
  <c r="Y5" i="1"/>
  <c r="O5" i="1"/>
  <c r="AS32" i="1"/>
  <c r="AQ32" i="1"/>
  <c r="AD32" i="1"/>
  <c r="Y32" i="1"/>
  <c r="V32" i="1"/>
  <c r="O32" i="1"/>
  <c r="AS36" i="1"/>
  <c r="AQ36" i="1"/>
  <c r="Y36" i="1"/>
  <c r="V36" i="1"/>
  <c r="O36" i="1"/>
  <c r="AS28" i="1"/>
  <c r="AQ28" i="1"/>
  <c r="AD28" i="1"/>
  <c r="Y28" i="1"/>
  <c r="V28" i="1"/>
  <c r="O28" i="1"/>
  <c r="AS30" i="1"/>
  <c r="AQ30" i="1"/>
  <c r="AD30" i="1"/>
  <c r="Y30" i="1"/>
  <c r="V30" i="1"/>
  <c r="O30" i="1"/>
  <c r="AS35" i="1"/>
  <c r="AQ35" i="1"/>
  <c r="AD35" i="1"/>
  <c r="Y35" i="1"/>
  <c r="V35" i="1"/>
  <c r="O35" i="1"/>
  <c r="AS37" i="1"/>
  <c r="AQ37" i="1"/>
  <c r="Y37" i="1"/>
  <c r="V37" i="1"/>
  <c r="U37" i="1"/>
  <c r="O37" i="1"/>
  <c r="AS21" i="1"/>
  <c r="AQ21" i="1"/>
  <c r="V21" i="1"/>
  <c r="O21" i="1"/>
  <c r="AS34" i="1"/>
  <c r="Y34" i="1"/>
  <c r="V34" i="1"/>
  <c r="O34" i="1"/>
  <c r="AS33" i="1"/>
  <c r="AQ33" i="1"/>
  <c r="Y33" i="1"/>
  <c r="V33" i="1"/>
  <c r="U33" i="1"/>
  <c r="O33" i="1"/>
  <c r="AS16" i="1"/>
  <c r="AQ16" i="1"/>
  <c r="Y16" i="1"/>
  <c r="V16" i="1"/>
  <c r="O16" i="1"/>
  <c r="AS22" i="1"/>
  <c r="AQ22" i="1"/>
  <c r="Y22" i="1"/>
  <c r="V22" i="1"/>
  <c r="O22" i="1"/>
  <c r="AS18" i="1"/>
  <c r="AQ18" i="1"/>
  <c r="Y18" i="1"/>
  <c r="V18" i="1"/>
  <c r="O18" i="1"/>
  <c r="AS15" i="1"/>
  <c r="AQ15" i="1"/>
  <c r="AC15" i="1"/>
  <c r="Y15" i="1"/>
  <c r="V15" i="1"/>
  <c r="O15" i="1"/>
  <c r="AS4" i="1"/>
  <c r="AA4" i="1"/>
  <c r="Y4" i="1"/>
  <c r="V4" i="1"/>
  <c r="O4" i="1"/>
  <c r="AS25" i="1"/>
  <c r="Y25" i="1"/>
  <c r="X25" i="1"/>
  <c r="O25" i="1"/>
  <c r="AS11" i="1"/>
  <c r="AQ11" i="1"/>
  <c r="AD11" i="1"/>
  <c r="AC11" i="1"/>
  <c r="Y11" i="1"/>
  <c r="X11" i="1"/>
  <c r="V11" i="1"/>
  <c r="U11" i="1"/>
  <c r="O11" i="1"/>
  <c r="AS3" i="1"/>
  <c r="AQ3" i="1"/>
  <c r="AA3" i="1"/>
  <c r="Y3" i="1"/>
  <c r="X3" i="1"/>
  <c r="V3" i="1"/>
  <c r="O3" i="1"/>
  <c r="AS2" i="1"/>
  <c r="AQ2" i="1"/>
  <c r="AA2" i="1"/>
  <c r="Y2" i="1"/>
  <c r="V2" i="1"/>
  <c r="O2" i="1"/>
  <c r="V112" i="1"/>
  <c r="V96" i="1"/>
  <c r="V121" i="1"/>
  <c r="V110" i="1"/>
  <c r="V102" i="1"/>
  <c r="V186" i="1"/>
  <c r="V134" i="1"/>
  <c r="V157" i="1"/>
  <c r="V146" i="1"/>
  <c r="V138" i="1"/>
  <c r="V123" i="1"/>
  <c r="V175" i="1"/>
  <c r="V137" i="1"/>
  <c r="V83" i="1"/>
  <c r="V90" i="1"/>
  <c r="V89" i="1"/>
  <c r="V99" i="1"/>
  <c r="V88" i="1"/>
  <c r="V120" i="1"/>
  <c r="V105" i="1"/>
  <c r="V91" i="1"/>
  <c r="V131" i="1"/>
  <c r="V127" i="1"/>
  <c r="V135" i="1"/>
  <c r="V100" i="1"/>
  <c r="V111" i="1"/>
  <c r="V126" i="1"/>
  <c r="V117" i="1"/>
  <c r="Y82" i="1"/>
  <c r="Y123" i="1"/>
  <c r="Y173" i="1"/>
  <c r="Y182" i="1"/>
  <c r="Y136" i="1"/>
  <c r="Y167" i="1"/>
  <c r="Y146" i="1"/>
  <c r="Y125" i="1"/>
  <c r="V109" i="1"/>
  <c r="V98" i="1"/>
  <c r="V116" i="1"/>
  <c r="V108" i="1"/>
  <c r="V113" i="1"/>
  <c r="V132" i="1"/>
  <c r="Y180" i="1"/>
  <c r="Y184" i="1"/>
  <c r="Y95" i="1"/>
  <c r="O193" i="1"/>
  <c r="O155" i="1"/>
  <c r="O142" i="1"/>
  <c r="AA141" i="1"/>
  <c r="Y141" i="1"/>
  <c r="X141" i="1"/>
  <c r="O141" i="1"/>
  <c r="V153" i="1"/>
  <c r="U153" i="1"/>
  <c r="O153" i="1"/>
  <c r="O148" i="1"/>
  <c r="V158" i="1"/>
  <c r="U158" i="1"/>
  <c r="O158" i="1"/>
  <c r="AD175" i="1"/>
  <c r="AC169" i="1"/>
  <c r="O169" i="1"/>
  <c r="AA187" i="1"/>
  <c r="O187" i="1"/>
  <c r="Y157" i="1"/>
  <c r="X157" i="1"/>
  <c r="U157" i="1"/>
  <c r="O157" i="1"/>
  <c r="AC168" i="1"/>
  <c r="O168" i="1"/>
  <c r="O151" i="1"/>
  <c r="O154" i="1"/>
  <c r="O145" i="1"/>
  <c r="Y143" i="1"/>
  <c r="X143" i="1"/>
  <c r="O143" i="1"/>
  <c r="O192" i="1"/>
  <c r="V191" i="1"/>
  <c r="U191" i="1"/>
  <c r="O191" i="1"/>
  <c r="AC195" i="1"/>
  <c r="Y195" i="1"/>
  <c r="X195" i="1"/>
  <c r="V195" i="1"/>
  <c r="U195" i="1"/>
  <c r="O195" i="1"/>
  <c r="Y190" i="1"/>
  <c r="X190" i="1"/>
  <c r="V190" i="1"/>
  <c r="U190" i="1"/>
  <c r="O190" i="1"/>
  <c r="Y178" i="1"/>
  <c r="X178" i="1"/>
  <c r="V178" i="1"/>
  <c r="U178" i="1"/>
  <c r="O178" i="1"/>
  <c r="Y186" i="1"/>
  <c r="X186" i="1"/>
  <c r="U186" i="1"/>
  <c r="O186" i="1"/>
  <c r="Y194" i="1"/>
  <c r="X194" i="1"/>
  <c r="V194" i="1"/>
  <c r="U194" i="1"/>
  <c r="O194" i="1"/>
  <c r="L194" i="1"/>
  <c r="AC175" i="1"/>
  <c r="Y175" i="1"/>
  <c r="X175" i="1"/>
  <c r="U175" i="1"/>
  <c r="O175" i="1"/>
  <c r="AD171" i="1"/>
  <c r="AC171" i="1"/>
  <c r="Y171" i="1"/>
  <c r="X171" i="1"/>
  <c r="V171" i="1"/>
  <c r="U171" i="1"/>
  <c r="O171" i="1"/>
  <c r="AD166" i="1"/>
  <c r="AC166" i="1"/>
  <c r="Y166" i="1"/>
  <c r="X166" i="1"/>
  <c r="O166" i="1"/>
  <c r="AD179" i="1"/>
  <c r="AC179" i="1"/>
  <c r="AA179" i="1"/>
  <c r="O179" i="1"/>
  <c r="AD184" i="1"/>
  <c r="AC184" i="1"/>
  <c r="AA184" i="1"/>
  <c r="X184" i="1"/>
  <c r="O184" i="1"/>
  <c r="AD180" i="1"/>
  <c r="AD185" i="1"/>
  <c r="AC172" i="1"/>
  <c r="AC180" i="1"/>
  <c r="AA180" i="1"/>
  <c r="Y185" i="1"/>
  <c r="AA172" i="1"/>
  <c r="X185" i="1"/>
  <c r="X167" i="1"/>
  <c r="X173" i="1"/>
  <c r="X183" i="1"/>
  <c r="X182" i="1"/>
  <c r="X180" i="1"/>
  <c r="O180" i="1"/>
  <c r="AC167" i="1"/>
  <c r="AC173" i="1"/>
  <c r="AC183" i="1"/>
  <c r="AC182" i="1"/>
  <c r="AC185" i="1"/>
  <c r="V172" i="1"/>
  <c r="V182" i="1"/>
  <c r="V183" i="1"/>
  <c r="V173" i="1"/>
  <c r="V167" i="1"/>
  <c r="V185" i="1"/>
  <c r="U185" i="1"/>
  <c r="O185" i="1"/>
  <c r="AD167" i="1"/>
  <c r="AA167" i="1"/>
  <c r="U167" i="1"/>
  <c r="O167" i="1"/>
  <c r="AD173" i="1"/>
  <c r="AA173" i="1"/>
  <c r="U173" i="1"/>
  <c r="O173" i="1"/>
  <c r="AD183" i="1"/>
  <c r="Y183" i="1"/>
  <c r="U182" i="1"/>
  <c r="U183" i="1"/>
  <c r="O183" i="1"/>
  <c r="AD182" i="1"/>
  <c r="V161" i="1"/>
  <c r="V188" i="1"/>
  <c r="O182" i="1"/>
  <c r="AD172" i="1"/>
  <c r="Y172" i="1"/>
  <c r="X172" i="1"/>
  <c r="U172" i="1"/>
  <c r="O172" i="1"/>
  <c r="U188" i="1"/>
  <c r="O188" i="1"/>
  <c r="Y176" i="1"/>
  <c r="X176" i="1"/>
  <c r="O176" i="1"/>
  <c r="AD174" i="1"/>
  <c r="AC174" i="1"/>
  <c r="Y174" i="1"/>
  <c r="X174" i="1"/>
  <c r="O174" i="1"/>
  <c r="O163" i="1"/>
  <c r="AD159" i="1"/>
  <c r="AC159" i="1"/>
  <c r="Y159" i="1"/>
  <c r="X159" i="1"/>
  <c r="O159" i="1"/>
  <c r="Y165" i="1"/>
  <c r="X165" i="1"/>
  <c r="O165" i="1"/>
  <c r="Y156" i="1"/>
  <c r="X156" i="1"/>
  <c r="O156" i="1"/>
  <c r="O149" i="1"/>
  <c r="Y147" i="1"/>
  <c r="X147" i="1"/>
  <c r="O147" i="1"/>
  <c r="O152" i="1"/>
  <c r="AD170" i="1"/>
  <c r="AC170" i="1"/>
  <c r="V170" i="1"/>
  <c r="V181" i="1"/>
  <c r="U170" i="1"/>
  <c r="O170" i="1"/>
  <c r="AD181" i="1"/>
  <c r="AC181" i="1"/>
  <c r="O181" i="1"/>
  <c r="AD177" i="1"/>
  <c r="AC177" i="1"/>
  <c r="Y177" i="1"/>
  <c r="X177" i="1"/>
  <c r="V177" i="1"/>
  <c r="U177" i="1"/>
  <c r="O177" i="1"/>
  <c r="U161" i="1"/>
  <c r="O161" i="1"/>
  <c r="O150" i="1"/>
  <c r="AC189" i="1"/>
  <c r="Y189" i="1"/>
  <c r="X189" i="1"/>
  <c r="AC193" i="1"/>
  <c r="Y193" i="1"/>
  <c r="X193" i="1"/>
  <c r="Y164" i="1"/>
  <c r="X164" i="1"/>
  <c r="V164" i="1"/>
  <c r="O164" i="1"/>
  <c r="AD146" i="1"/>
  <c r="AD93" i="1"/>
  <c r="AC146" i="1"/>
  <c r="X146" i="1"/>
  <c r="U146" i="1"/>
  <c r="O146" i="1"/>
  <c r="AJ162" i="2"/>
  <c r="V162" i="2"/>
  <c r="P162" i="2"/>
  <c r="V161" i="2"/>
  <c r="P161" i="2"/>
  <c r="AS108" i="2"/>
  <c r="AR108" i="2"/>
  <c r="V108" i="2"/>
  <c r="T108" i="2"/>
  <c r="P108" i="2"/>
  <c r="V107" i="2"/>
  <c r="T107" i="2"/>
  <c r="P107" i="2"/>
  <c r="V106" i="2"/>
  <c r="T106" i="2"/>
  <c r="P106" i="2"/>
  <c r="AD105" i="2"/>
  <c r="AE105" i="2"/>
  <c r="X105" i="2"/>
  <c r="V105" i="2"/>
  <c r="P105" i="2"/>
  <c r="AS104" i="2"/>
  <c r="AR104" i="2"/>
  <c r="X104" i="2"/>
  <c r="V104" i="2"/>
  <c r="P104" i="2"/>
  <c r="AS103" i="2"/>
  <c r="AR103" i="2"/>
  <c r="AD103" i="2"/>
  <c r="AE103" i="2"/>
  <c r="V103" i="2"/>
  <c r="T103" i="2"/>
  <c r="AD102" i="2"/>
  <c r="AE102" i="2"/>
  <c r="V102" i="2"/>
  <c r="P102" i="2"/>
  <c r="AM101" i="2"/>
  <c r="AL101" i="2"/>
  <c r="V101" i="2"/>
  <c r="P101" i="2"/>
  <c r="AS100" i="2"/>
  <c r="AR100" i="2"/>
  <c r="AD100" i="2"/>
  <c r="AE100" i="2"/>
  <c r="X100" i="2"/>
  <c r="V100" i="2"/>
  <c r="P100" i="2"/>
  <c r="AS99" i="2"/>
  <c r="AR99" i="2"/>
  <c r="AD99" i="2"/>
  <c r="AE99" i="2"/>
  <c r="V99" i="2"/>
  <c r="P99" i="2"/>
  <c r="AL98" i="2"/>
  <c r="X98" i="2"/>
  <c r="V98" i="2"/>
  <c r="P98" i="2"/>
  <c r="X97" i="2"/>
  <c r="V97" i="2"/>
  <c r="P97" i="2"/>
  <c r="AD96" i="2"/>
  <c r="AE96" i="2"/>
  <c r="V96" i="2"/>
  <c r="P96" i="2"/>
  <c r="AM95" i="2"/>
  <c r="AL95" i="2"/>
  <c r="V95" i="2"/>
  <c r="P95" i="2"/>
  <c r="AS94" i="2"/>
  <c r="AR94" i="2"/>
  <c r="X94" i="2"/>
  <c r="V94" i="2"/>
  <c r="P94" i="2"/>
  <c r="AS93" i="2"/>
  <c r="AR93" i="2"/>
  <c r="AM93" i="2"/>
  <c r="AL93" i="2"/>
  <c r="AD93" i="2"/>
  <c r="AE93" i="2"/>
  <c r="V93" i="2"/>
  <c r="P93" i="2"/>
  <c r="AD92" i="2"/>
  <c r="AE92" i="2"/>
  <c r="V92" i="2"/>
  <c r="P92" i="2"/>
  <c r="AM91" i="2"/>
  <c r="AL91" i="2"/>
  <c r="AD91" i="2"/>
  <c r="AE91" i="2"/>
  <c r="V91" i="2"/>
  <c r="P91" i="2"/>
  <c r="AM90" i="2"/>
  <c r="AL90" i="2"/>
  <c r="AD90" i="2"/>
  <c r="AE90" i="2"/>
  <c r="V90" i="2"/>
  <c r="P90" i="2"/>
  <c r="AD89" i="2"/>
  <c r="AE89" i="2"/>
  <c r="V89" i="2"/>
  <c r="P89" i="2"/>
  <c r="AS88" i="2"/>
  <c r="AR88" i="2"/>
  <c r="V88" i="2"/>
  <c r="T88" i="2"/>
  <c r="P88" i="2"/>
  <c r="AS87" i="2"/>
  <c r="AR87" i="2"/>
  <c r="V87" i="2"/>
  <c r="P87" i="2"/>
  <c r="AS86" i="2"/>
  <c r="AR86" i="2"/>
  <c r="V86" i="2"/>
  <c r="P86" i="2"/>
  <c r="AS85" i="2"/>
  <c r="AR85" i="2"/>
  <c r="V85" i="2"/>
  <c r="T85" i="2"/>
  <c r="P85" i="2"/>
  <c r="AS84" i="2"/>
  <c r="AR84" i="2"/>
  <c r="V84" i="2"/>
  <c r="T84" i="2"/>
  <c r="P84" i="2"/>
  <c r="AS83" i="2"/>
  <c r="AR83" i="2"/>
  <c r="X83" i="2"/>
  <c r="V83" i="2"/>
  <c r="AS82" i="2"/>
  <c r="AR82" i="2"/>
  <c r="X82" i="2"/>
  <c r="V82" i="2"/>
  <c r="T82" i="2"/>
  <c r="P82" i="2"/>
  <c r="AS81" i="2"/>
  <c r="AR81" i="2"/>
  <c r="V81" i="2"/>
  <c r="T81" i="2"/>
  <c r="P81" i="2"/>
  <c r="AS80" i="2"/>
  <c r="AR80" i="2"/>
  <c r="V80" i="2"/>
  <c r="T80" i="2"/>
  <c r="P80" i="2"/>
  <c r="AS79" i="2"/>
  <c r="AR79" i="2"/>
  <c r="V79" i="2"/>
  <c r="T79" i="2"/>
  <c r="P79" i="2"/>
  <c r="V78" i="2"/>
  <c r="T78" i="2"/>
  <c r="P78" i="2"/>
  <c r="AS77" i="2"/>
  <c r="AR77" i="2"/>
  <c r="V77" i="2"/>
  <c r="T77" i="2"/>
  <c r="P77" i="2"/>
  <c r="AM76" i="2"/>
  <c r="AL76" i="2"/>
  <c r="V76" i="2"/>
  <c r="P76" i="2"/>
  <c r="AM75" i="2"/>
  <c r="AL75" i="2"/>
  <c r="AD75" i="2"/>
  <c r="AE75" i="2"/>
  <c r="V75" i="2"/>
  <c r="T75" i="2"/>
  <c r="AD74" i="2"/>
  <c r="AE74" i="2"/>
  <c r="V74" i="2"/>
  <c r="P74" i="2"/>
  <c r="AS73" i="2"/>
  <c r="AR73" i="2"/>
  <c r="AD73" i="2"/>
  <c r="AE73" i="2"/>
  <c r="V73" i="2"/>
  <c r="P73" i="2"/>
  <c r="AD72" i="2"/>
  <c r="AE72" i="2"/>
  <c r="V72" i="2"/>
  <c r="T72" i="2"/>
  <c r="P72" i="2"/>
  <c r="AM71" i="2"/>
  <c r="AL71" i="2"/>
  <c r="AD71" i="2"/>
  <c r="AE71" i="2"/>
  <c r="V71" i="2"/>
  <c r="P71" i="2"/>
  <c r="AM70" i="2"/>
  <c r="AL70" i="2"/>
  <c r="V70" i="2"/>
  <c r="P70" i="2"/>
  <c r="V69" i="2"/>
  <c r="P69" i="2"/>
  <c r="V68" i="2"/>
  <c r="P68" i="2"/>
  <c r="X67" i="2"/>
  <c r="V67" i="2"/>
  <c r="P67" i="2"/>
  <c r="AS66" i="2"/>
  <c r="AR66" i="2"/>
  <c r="X66" i="2"/>
  <c r="V66" i="2"/>
  <c r="P66" i="2"/>
  <c r="AS65" i="2"/>
  <c r="AR65" i="2"/>
  <c r="X65" i="2"/>
  <c r="V65" i="2"/>
  <c r="P65" i="2"/>
  <c r="V64" i="2"/>
  <c r="T64" i="2"/>
  <c r="P64" i="2"/>
  <c r="AD63" i="2"/>
  <c r="AE63" i="2"/>
  <c r="V63" i="2"/>
  <c r="P63" i="2"/>
  <c r="AS62" i="2"/>
  <c r="AR62" i="2"/>
  <c r="AM62" i="2"/>
  <c r="AL62" i="2"/>
  <c r="AD62" i="2"/>
  <c r="AE62" i="2"/>
  <c r="X62" i="2"/>
  <c r="V62" i="2"/>
  <c r="P62" i="2"/>
  <c r="X61" i="2"/>
  <c r="V61" i="2"/>
  <c r="P61" i="2"/>
  <c r="AD60" i="2"/>
  <c r="AE60" i="2"/>
  <c r="X60" i="2"/>
  <c r="V60" i="2"/>
  <c r="AD59" i="2"/>
  <c r="AE59" i="2"/>
  <c r="V59" i="2"/>
  <c r="AS58" i="2"/>
  <c r="AR58" i="2"/>
  <c r="AM58" i="2"/>
  <c r="AL58" i="2"/>
  <c r="AD58" i="2"/>
  <c r="AE58" i="2"/>
  <c r="X58" i="2"/>
  <c r="V58" i="2"/>
  <c r="AS57" i="2"/>
  <c r="AR57" i="2"/>
  <c r="X57" i="2"/>
  <c r="V57" i="2"/>
  <c r="P57" i="2"/>
  <c r="AS56" i="2"/>
  <c r="AR56" i="2"/>
  <c r="V56" i="2"/>
  <c r="P56" i="2"/>
  <c r="AD55" i="2"/>
  <c r="AE55" i="2"/>
  <c r="V55" i="2"/>
  <c r="P55" i="2"/>
  <c r="AD54" i="2"/>
  <c r="AE54" i="2"/>
  <c r="V54" i="2"/>
  <c r="P54" i="2"/>
  <c r="V53" i="2"/>
  <c r="AM52" i="2"/>
  <c r="AL52" i="2"/>
  <c r="V52" i="2"/>
  <c r="P52" i="2"/>
  <c r="AM51" i="2"/>
  <c r="AL51" i="2"/>
  <c r="V51" i="2"/>
  <c r="P51" i="2"/>
  <c r="V50" i="2"/>
  <c r="P50" i="2"/>
  <c r="AN49" i="2"/>
  <c r="V49" i="2"/>
  <c r="P49" i="2"/>
  <c r="AN48" i="2"/>
  <c r="X48" i="2"/>
  <c r="V48" i="2"/>
  <c r="P48" i="2"/>
  <c r="X47" i="2"/>
  <c r="V47" i="2"/>
  <c r="P47" i="2"/>
  <c r="AS46" i="2"/>
  <c r="AR46" i="2"/>
  <c r="AD46" i="2"/>
  <c r="AE46" i="2"/>
  <c r="V46" i="2"/>
  <c r="P46" i="2"/>
  <c r="P44" i="2"/>
  <c r="P43" i="2"/>
  <c r="P42" i="2"/>
  <c r="P40" i="2"/>
  <c r="P45" i="2"/>
  <c r="P36" i="2"/>
  <c r="P31" i="2"/>
  <c r="P30" i="2"/>
  <c r="P28" i="2"/>
  <c r="P22" i="2"/>
  <c r="P24" i="2"/>
  <c r="P23" i="2"/>
  <c r="P17" i="2"/>
  <c r="P16" i="2"/>
  <c r="P15" i="2"/>
  <c r="P14" i="2"/>
  <c r="AL12" i="2"/>
  <c r="AK12" i="2"/>
  <c r="AJ12" i="2"/>
  <c r="AL7" i="2"/>
  <c r="P7" i="2"/>
  <c r="AK6" i="2"/>
  <c r="AM2" i="2"/>
  <c r="V43" i="2"/>
  <c r="V42" i="2"/>
  <c r="V41" i="2"/>
  <c r="V40" i="2"/>
  <c r="V39" i="2"/>
  <c r="P39" i="2"/>
  <c r="P38" i="2"/>
  <c r="P35" i="2"/>
  <c r="P34" i="2"/>
  <c r="P33" i="2"/>
  <c r="V31" i="2"/>
  <c r="T31" i="2"/>
  <c r="V30" i="2"/>
  <c r="T30" i="2"/>
  <c r="V29" i="2"/>
  <c r="T29" i="2"/>
  <c r="P29" i="2"/>
  <c r="T28" i="2"/>
  <c r="V27" i="2"/>
  <c r="T27" i="2"/>
  <c r="P27" i="2"/>
  <c r="V26" i="2"/>
  <c r="T26" i="2"/>
  <c r="P26" i="2"/>
  <c r="V25" i="2"/>
  <c r="V24" i="2"/>
  <c r="T24" i="2"/>
  <c r="V23" i="2"/>
  <c r="T23" i="2"/>
  <c r="V22" i="2"/>
  <c r="V20" i="2"/>
  <c r="V19" i="2"/>
  <c r="T19" i="2"/>
  <c r="V18" i="2"/>
  <c r="P18" i="2"/>
  <c r="V17" i="2"/>
  <c r="V16" i="2"/>
  <c r="T16" i="2"/>
  <c r="T15" i="2"/>
  <c r="V14" i="2"/>
  <c r="T14" i="2"/>
  <c r="V13" i="2"/>
  <c r="P13" i="2"/>
  <c r="V12" i="2"/>
  <c r="P12" i="2"/>
  <c r="V11" i="2"/>
  <c r="P11" i="2"/>
  <c r="V10" i="2"/>
  <c r="P10" i="2"/>
  <c r="V9" i="2"/>
  <c r="P9" i="2"/>
  <c r="V8" i="2"/>
  <c r="P8" i="2"/>
  <c r="AD5" i="2"/>
  <c r="P4" i="2"/>
  <c r="T2" i="2"/>
  <c r="AL2" i="2"/>
  <c r="AK2" i="2"/>
  <c r="P109" i="2"/>
  <c r="P110" i="2"/>
  <c r="P111" i="2"/>
  <c r="P112" i="2"/>
  <c r="P113" i="2"/>
  <c r="P115" i="2"/>
  <c r="P116" i="2"/>
  <c r="P117" i="2"/>
  <c r="P118" i="2"/>
  <c r="P119" i="2"/>
  <c r="P124" i="2"/>
  <c r="P129" i="2"/>
  <c r="P130" i="2"/>
  <c r="P131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9" i="2"/>
  <c r="P160" i="2"/>
  <c r="G44" i="9"/>
  <c r="G45" i="9"/>
  <c r="G49" i="9"/>
  <c r="G50" i="9"/>
  <c r="G51" i="9"/>
  <c r="G52" i="9"/>
  <c r="G53" i="9"/>
  <c r="G54" i="9"/>
  <c r="G55" i="9"/>
  <c r="G56" i="9"/>
  <c r="G57" i="9"/>
  <c r="G58" i="9"/>
  <c r="G60" i="9"/>
  <c r="G61" i="9"/>
  <c r="G62" i="9"/>
  <c r="G16" i="9"/>
  <c r="G17" i="9"/>
  <c r="G19" i="9"/>
  <c r="G20" i="9"/>
  <c r="G22" i="9"/>
  <c r="G23" i="9"/>
  <c r="G24" i="9"/>
  <c r="G25" i="9"/>
  <c r="G27" i="9"/>
  <c r="G28" i="9"/>
  <c r="G29" i="9"/>
  <c r="G30" i="9"/>
  <c r="G32" i="9"/>
  <c r="G34" i="9"/>
  <c r="G35" i="9"/>
  <c r="G36" i="9"/>
  <c r="G37" i="9"/>
  <c r="G38" i="9"/>
  <c r="G39" i="9"/>
  <c r="G40" i="9"/>
  <c r="G41" i="9"/>
  <c r="G42" i="9"/>
  <c r="G43" i="9"/>
  <c r="G2" i="9"/>
  <c r="G3" i="9"/>
  <c r="G4" i="9"/>
  <c r="G6" i="9"/>
  <c r="G7" i="9"/>
  <c r="G8" i="9"/>
  <c r="G9" i="9"/>
  <c r="G10" i="9"/>
  <c r="G11" i="9"/>
  <c r="G12" i="9"/>
  <c r="G13" i="9"/>
  <c r="G14" i="9"/>
  <c r="G15" i="9"/>
  <c r="F35" i="9"/>
  <c r="H35" i="9" s="1"/>
  <c r="F49" i="9"/>
  <c r="H49" i="9"/>
  <c r="F51" i="9"/>
  <c r="H51" i="9" s="1"/>
  <c r="F57" i="9"/>
  <c r="H57" i="9" s="1"/>
  <c r="F34" i="9"/>
  <c r="H34" i="9" s="1"/>
  <c r="F27" i="9"/>
  <c r="H27" i="9"/>
  <c r="F45" i="9"/>
  <c r="H45" i="9" s="1"/>
  <c r="F40" i="9"/>
  <c r="H40" i="9"/>
  <c r="F36" i="9"/>
  <c r="H36" i="9" s="1"/>
  <c r="F53" i="9"/>
  <c r="H53" i="9"/>
  <c r="F25" i="9"/>
  <c r="H25" i="9" s="1"/>
  <c r="F41" i="9"/>
  <c r="H41" i="9" s="1"/>
  <c r="F37" i="9"/>
  <c r="H37" i="9" s="1"/>
  <c r="F30" i="9"/>
  <c r="H30" i="9"/>
  <c r="F15" i="9"/>
  <c r="H15" i="9" s="1"/>
  <c r="F19" i="9"/>
  <c r="H19" i="9"/>
  <c r="F23" i="9"/>
  <c r="H23" i="9" s="1"/>
  <c r="F29" i="9"/>
  <c r="H29" i="9"/>
  <c r="F52" i="9"/>
  <c r="H52" i="9" s="1"/>
  <c r="F55" i="9"/>
  <c r="H55" i="9" s="1"/>
  <c r="F56" i="9"/>
  <c r="H56" i="9" s="1"/>
  <c r="F62" i="9"/>
  <c r="H62" i="9"/>
  <c r="F61" i="9"/>
  <c r="H61" i="9" s="1"/>
  <c r="F60" i="9"/>
  <c r="H60" i="9"/>
  <c r="F44" i="9"/>
  <c r="H44" i="9" s="1"/>
  <c r="F54" i="9"/>
  <c r="H54" i="9"/>
  <c r="F58" i="9"/>
  <c r="H58" i="9" s="1"/>
  <c r="F4" i="9"/>
  <c r="H4" i="9" s="1"/>
  <c r="F3" i="9"/>
  <c r="H3" i="9" s="1"/>
  <c r="F2" i="9"/>
  <c r="H2" i="9"/>
  <c r="F6" i="9"/>
  <c r="H6" i="9" s="1"/>
  <c r="F9" i="9"/>
  <c r="H9" i="9"/>
  <c r="F7" i="9"/>
  <c r="H7" i="9" s="1"/>
  <c r="F8" i="9"/>
  <c r="H8" i="9"/>
  <c r="F16" i="9"/>
  <c r="H16" i="9" s="1"/>
  <c r="F13" i="9"/>
  <c r="H13" i="9" s="1"/>
  <c r="F10" i="9"/>
  <c r="H10" i="9" s="1"/>
  <c r="F11" i="9"/>
  <c r="H11" i="9"/>
  <c r="F12" i="9"/>
  <c r="H12" i="9" s="1"/>
  <c r="F20" i="9"/>
  <c r="H20" i="9"/>
  <c r="F22" i="9"/>
  <c r="H22" i="9" s="1"/>
  <c r="F28" i="9"/>
  <c r="H28" i="9"/>
  <c r="F50" i="9"/>
  <c r="H50" i="9" s="1"/>
  <c r="F38" i="9"/>
  <c r="H38" i="9" s="1"/>
  <c r="F42" i="9"/>
  <c r="H42" i="9" s="1"/>
  <c r="F24" i="9"/>
  <c r="H24" i="9"/>
  <c r="F43" i="9"/>
  <c r="H43" i="9" s="1"/>
  <c r="F39" i="9"/>
  <c r="H39" i="9"/>
  <c r="F32" i="9"/>
  <c r="H32" i="9" s="1"/>
  <c r="F17" i="9"/>
  <c r="H17" i="9"/>
  <c r="F14" i="9"/>
  <c r="H14" i="9" s="1"/>
  <c r="AM150" i="2"/>
  <c r="AL150" i="2"/>
  <c r="AL149" i="2"/>
  <c r="AM149" i="2"/>
  <c r="AM147" i="2"/>
  <c r="AL147" i="2"/>
  <c r="AM145" i="2"/>
  <c r="AL145" i="2"/>
  <c r="AM142" i="2"/>
  <c r="AL142" i="2"/>
  <c r="AM133" i="2"/>
  <c r="AL133" i="2"/>
  <c r="AM126" i="2"/>
  <c r="AL126" i="2"/>
  <c r="AM125" i="2"/>
  <c r="AL125" i="2"/>
  <c r="AM119" i="2"/>
  <c r="AL119" i="2"/>
  <c r="AM115" i="2"/>
  <c r="AL115" i="2"/>
  <c r="V160" i="2"/>
  <c r="T160" i="2"/>
  <c r="V159" i="2"/>
  <c r="T159" i="2"/>
  <c r="V158" i="2"/>
  <c r="T158" i="2"/>
  <c r="V157" i="2"/>
  <c r="T157" i="2"/>
  <c r="V156" i="2"/>
  <c r="V155" i="2"/>
  <c r="T155" i="2"/>
  <c r="V154" i="2"/>
  <c r="T154" i="2"/>
  <c r="V153" i="2"/>
  <c r="T153" i="2"/>
  <c r="V152" i="2"/>
  <c r="T152" i="2"/>
  <c r="V151" i="2"/>
  <c r="T151" i="2"/>
  <c r="V150" i="2"/>
  <c r="T150" i="2"/>
  <c r="V149" i="2"/>
  <c r="T149" i="2"/>
  <c r="AJ130" i="2"/>
  <c r="AJ129" i="2"/>
  <c r="AJ120" i="2"/>
  <c r="AJ116" i="2"/>
  <c r="AJ115" i="2"/>
  <c r="AJ144" i="2"/>
  <c r="AJ133" i="2"/>
  <c r="V148" i="2"/>
  <c r="T148" i="2"/>
  <c r="V147" i="2"/>
  <c r="T147" i="2"/>
  <c r="V146" i="2"/>
  <c r="T146" i="2"/>
  <c r="V145" i="2"/>
  <c r="V144" i="2"/>
  <c r="T144" i="2"/>
  <c r="V143" i="2"/>
  <c r="T143" i="2"/>
  <c r="V142" i="2"/>
  <c r="T142" i="2"/>
  <c r="V141" i="2"/>
  <c r="T141" i="2"/>
  <c r="V140" i="2"/>
  <c r="T140" i="2"/>
  <c r="V139" i="2"/>
  <c r="T139" i="2"/>
  <c r="V138" i="2"/>
  <c r="T138" i="2"/>
  <c r="V137" i="2"/>
  <c r="T137" i="2"/>
  <c r="V136" i="2"/>
  <c r="T136" i="2"/>
  <c r="V135" i="2"/>
  <c r="T135" i="2"/>
  <c r="V134" i="2"/>
  <c r="T134" i="2"/>
  <c r="V133" i="2"/>
  <c r="T133" i="2"/>
  <c r="V132" i="2"/>
  <c r="T132" i="2"/>
  <c r="V131" i="2"/>
  <c r="T131" i="2"/>
  <c r="V130" i="2"/>
  <c r="T130" i="2"/>
  <c r="V129" i="2"/>
  <c r="T129" i="2"/>
  <c r="V128" i="2"/>
  <c r="T128" i="2"/>
  <c r="V127" i="2"/>
  <c r="T127" i="2"/>
  <c r="V126" i="2"/>
  <c r="T126" i="2"/>
  <c r="V125" i="2"/>
  <c r="T125" i="2"/>
  <c r="V124" i="2"/>
  <c r="T124" i="2"/>
  <c r="V123" i="2"/>
  <c r="T123" i="2"/>
  <c r="V122" i="2"/>
  <c r="T122" i="2"/>
  <c r="V121" i="2"/>
  <c r="T121" i="2"/>
  <c r="V120" i="2"/>
  <c r="T120" i="2"/>
  <c r="T119" i="2"/>
  <c r="V119" i="2"/>
  <c r="V118" i="2"/>
  <c r="T118" i="2"/>
  <c r="V117" i="2"/>
  <c r="V116" i="2"/>
  <c r="T116" i="2"/>
  <c r="V115" i="2"/>
  <c r="T115" i="2"/>
  <c r="V114" i="2"/>
  <c r="T114" i="2"/>
  <c r="V113" i="2"/>
  <c r="T113" i="2"/>
  <c r="V112" i="2"/>
  <c r="T112" i="2"/>
  <c r="V111" i="2"/>
  <c r="T111" i="2"/>
  <c r="V110" i="2"/>
  <c r="T110" i="2"/>
  <c r="V109" i="2"/>
  <c r="T109" i="2"/>
  <c r="V92" i="1"/>
  <c r="V93" i="1"/>
  <c r="V97" i="1"/>
  <c r="V101" i="1"/>
  <c r="V107" i="1"/>
  <c r="V130" i="1"/>
  <c r="V133" i="1"/>
  <c r="V140" i="1"/>
  <c r="V139" i="1"/>
  <c r="V122" i="1"/>
  <c r="V136" i="1"/>
  <c r="V82" i="1"/>
  <c r="V81" i="1"/>
  <c r="V80" i="1"/>
  <c r="V84" i="1"/>
  <c r="V87" i="1"/>
  <c r="V85" i="1"/>
  <c r="V86" i="1"/>
  <c r="V94" i="1"/>
  <c r="V106" i="1"/>
  <c r="V128" i="1"/>
  <c r="V129" i="1"/>
  <c r="V118" i="1"/>
  <c r="V114" i="1"/>
  <c r="V103" i="1"/>
  <c r="V119" i="1"/>
  <c r="V124" i="1"/>
  <c r="V115" i="1"/>
  <c r="U108" i="1"/>
  <c r="O108" i="1"/>
  <c r="O115" i="1"/>
  <c r="O124" i="1"/>
  <c r="O119" i="1"/>
  <c r="AC103" i="1"/>
  <c r="Y103" i="1"/>
  <c r="X103" i="1"/>
  <c r="O103" i="1"/>
  <c r="U131" i="1"/>
  <c r="O131" i="1"/>
  <c r="X125" i="1"/>
  <c r="O125" i="1"/>
  <c r="U114" i="1"/>
  <c r="O114" i="1"/>
  <c r="O118" i="1"/>
  <c r="O104" i="1"/>
  <c r="X123" i="1"/>
  <c r="U123" i="1"/>
  <c r="O123" i="1"/>
  <c r="U105" i="1"/>
  <c r="O105" i="1"/>
  <c r="U112" i="1"/>
  <c r="O112" i="1"/>
  <c r="O135" i="1"/>
  <c r="O129" i="1"/>
  <c r="U127" i="1"/>
  <c r="O127" i="1"/>
  <c r="O113" i="1"/>
  <c r="U109" i="1"/>
  <c r="AC126" i="1"/>
  <c r="U126" i="1"/>
  <c r="O126" i="1"/>
  <c r="O109" i="1"/>
  <c r="U96" i="1"/>
  <c r="O96" i="1"/>
  <c r="X95" i="1"/>
  <c r="O95" i="1"/>
  <c r="U110" i="1"/>
  <c r="O110" i="1"/>
  <c r="U117" i="1"/>
  <c r="O117" i="1"/>
  <c r="U111" i="1"/>
  <c r="O111" i="1"/>
  <c r="AC121" i="1"/>
  <c r="U121" i="1"/>
  <c r="O121" i="1"/>
  <c r="U102" i="1"/>
  <c r="O102" i="1"/>
  <c r="U120" i="1"/>
  <c r="O120" i="1"/>
  <c r="U116" i="1"/>
  <c r="O116" i="1"/>
  <c r="O128" i="1"/>
  <c r="U83" i="1"/>
  <c r="U106" i="1"/>
  <c r="U99" i="1"/>
  <c r="O99" i="1"/>
  <c r="O106" i="1"/>
  <c r="U100" i="1"/>
  <c r="O100" i="1"/>
  <c r="U98" i="1"/>
  <c r="U90" i="1"/>
  <c r="AC89" i="1"/>
  <c r="U89" i="1"/>
  <c r="O89" i="1"/>
  <c r="AC88" i="1"/>
  <c r="U88" i="1"/>
  <c r="O88" i="1"/>
  <c r="AC91" i="1"/>
  <c r="U91" i="1"/>
  <c r="O91" i="1"/>
  <c r="O94" i="1"/>
  <c r="O86" i="1"/>
  <c r="U85" i="1"/>
  <c r="O85" i="1"/>
  <c r="AC87" i="1"/>
  <c r="AC84" i="1"/>
  <c r="O80" i="1"/>
  <c r="AC81" i="1"/>
  <c r="O81" i="1"/>
  <c r="AC82" i="1"/>
  <c r="X82" i="1"/>
  <c r="O82" i="1"/>
  <c r="X136" i="1"/>
  <c r="U136" i="1"/>
  <c r="AC132" i="1"/>
  <c r="AC122" i="1"/>
  <c r="AC134" i="1"/>
  <c r="AC93" i="1"/>
  <c r="X132" i="1"/>
  <c r="X138" i="1"/>
  <c r="X140" i="1"/>
  <c r="X137" i="1"/>
  <c r="X134" i="1"/>
  <c r="X133" i="1"/>
  <c r="X130" i="1"/>
  <c r="X107" i="1"/>
  <c r="X101" i="1"/>
  <c r="X93" i="1"/>
  <c r="O136" i="1"/>
  <c r="Y132" i="1"/>
  <c r="U132" i="1"/>
  <c r="O132" i="1"/>
  <c r="O122" i="1"/>
  <c r="Y93" i="1"/>
  <c r="Y101" i="1"/>
  <c r="Y107" i="1"/>
  <c r="Y130" i="1"/>
  <c r="Y138" i="1"/>
  <c r="U138" i="1"/>
  <c r="O138" i="1"/>
  <c r="O139" i="1"/>
  <c r="Y140" i="1"/>
  <c r="U140" i="1"/>
  <c r="O140" i="1"/>
  <c r="Y137" i="1"/>
  <c r="U137" i="1"/>
  <c r="AD134" i="1"/>
  <c r="Y134" i="1"/>
  <c r="U134" i="1"/>
  <c r="Y133" i="1"/>
  <c r="U133" i="1"/>
  <c r="U130" i="1"/>
  <c r="O130" i="1"/>
  <c r="U107" i="1"/>
  <c r="O107" i="1"/>
  <c r="AA101" i="1"/>
  <c r="U101" i="1"/>
  <c r="O101" i="1"/>
  <c r="U97" i="1"/>
  <c r="O97" i="1"/>
  <c r="O93" i="1"/>
  <c r="O92" i="1"/>
</calcChain>
</file>

<file path=xl/sharedStrings.xml><?xml version="1.0" encoding="utf-8"?>
<sst xmlns="http://schemas.openxmlformats.org/spreadsheetml/2006/main" count="9720" uniqueCount="1366">
  <si>
    <t>Crop</t>
  </si>
  <si>
    <t>Survey</t>
  </si>
  <si>
    <t>Country</t>
  </si>
  <si>
    <t>District/ Province</t>
  </si>
  <si>
    <t>Sector/ Commune</t>
  </si>
  <si>
    <t>Cell/Zone</t>
  </si>
  <si>
    <t>Village/ Colline</t>
  </si>
  <si>
    <t>Field</t>
  </si>
  <si>
    <t>Date</t>
  </si>
  <si>
    <t>Longitude</t>
  </si>
  <si>
    <t>Latitude</t>
  </si>
  <si>
    <t>Altitude</t>
  </si>
  <si>
    <t>Telephone</t>
  </si>
  <si>
    <t>Farmers Name</t>
  </si>
  <si>
    <t>Field size (square meters)</t>
  </si>
  <si>
    <t>Age of field (months)</t>
  </si>
  <si>
    <t>Growth stage</t>
  </si>
  <si>
    <t>Researcher</t>
  </si>
  <si>
    <t>Variety</t>
  </si>
  <si>
    <t>LMF Occurs in field (yes/no)</t>
  </si>
  <si>
    <t>LMF infestation rate (%)</t>
  </si>
  <si>
    <t>LMF Infestation intensity (%)</t>
  </si>
  <si>
    <t>Aphid Occurs in field (yes/no)</t>
  </si>
  <si>
    <t>Aphid infestation rate (%)</t>
  </si>
  <si>
    <t>Number of Aphids/plant</t>
  </si>
  <si>
    <t>whitefly Occurs in field (yes/no)</t>
  </si>
  <si>
    <t>Number of whiteflies per plant</t>
  </si>
  <si>
    <t>PTM occurs in field (yes/no)</t>
  </si>
  <si>
    <t>PTM foliar infestation rate (%)</t>
  </si>
  <si>
    <t>PTM plant defoliation (%)</t>
  </si>
  <si>
    <t>Fertilizer use</t>
  </si>
  <si>
    <t>Intercrops</t>
  </si>
  <si>
    <t xml:space="preserve">Number of neigbouring fields </t>
  </si>
  <si>
    <t>Insecticide use</t>
  </si>
  <si>
    <t>Fungicide use</t>
  </si>
  <si>
    <t>100 tuber weight (kg)</t>
  </si>
  <si>
    <t>PTM infested tubers (#)</t>
  </si>
  <si>
    <t>PTM infested tubers (kg)</t>
  </si>
  <si>
    <t>PTM tuber infestation rate (%)</t>
  </si>
  <si>
    <t>PTM tuber mines (#)</t>
  </si>
  <si>
    <t>Sample ID</t>
  </si>
  <si>
    <t>Bwpresent</t>
  </si>
  <si>
    <t xml:space="preserve">BW Severity </t>
  </si>
  <si>
    <t>VirusPresent</t>
  </si>
  <si>
    <t xml:space="preserve">Viruses severity </t>
  </si>
  <si>
    <t>LBpresent</t>
  </si>
  <si>
    <t>Late blight severity</t>
  </si>
  <si>
    <t>Potato</t>
  </si>
  <si>
    <t>First</t>
  </si>
  <si>
    <t>Burundi</t>
  </si>
  <si>
    <t>Bujumbura rural</t>
  </si>
  <si>
    <t>Nyabiraba</t>
  </si>
  <si>
    <t>Matara</t>
  </si>
  <si>
    <t>Mwumba</t>
  </si>
  <si>
    <t>Nyandwi Koreta</t>
  </si>
  <si>
    <t>pre-flowering</t>
  </si>
  <si>
    <t>Joshua</t>
  </si>
  <si>
    <t>Ndinamagara</t>
  </si>
  <si>
    <t>0</t>
  </si>
  <si>
    <t>DAP and manure</t>
  </si>
  <si>
    <t>cabbage</t>
  </si>
  <si>
    <t>none</t>
  </si>
  <si>
    <t>Muzehe Denis</t>
  </si>
  <si>
    <t>pod maturity</t>
  </si>
  <si>
    <t>.</t>
  </si>
  <si>
    <t>dithane thrice</t>
  </si>
  <si>
    <t>Kizunga</t>
  </si>
  <si>
    <t>Jenine Nizembere</t>
  </si>
  <si>
    <t>unknown</t>
  </si>
  <si>
    <t>Maize and taro</t>
  </si>
  <si>
    <t>Mugongomanga</t>
  </si>
  <si>
    <t>Rwibaga</t>
  </si>
  <si>
    <t>Mwura</t>
  </si>
  <si>
    <t>maize</t>
  </si>
  <si>
    <t>Ijenda</t>
  </si>
  <si>
    <t>Gorette Niyonkulu</t>
  </si>
  <si>
    <t>manure</t>
  </si>
  <si>
    <t>cabbage and taro</t>
  </si>
  <si>
    <t>Muramvya</t>
  </si>
  <si>
    <t>Bugalama</t>
  </si>
  <si>
    <t>Gishubi</t>
  </si>
  <si>
    <t>Josephine Nzirubusa</t>
  </si>
  <si>
    <t>flowering</t>
  </si>
  <si>
    <t>pod mature</t>
  </si>
  <si>
    <t>1</t>
  </si>
  <si>
    <t>garden peas</t>
  </si>
  <si>
    <t>patrick</t>
  </si>
  <si>
    <t>Vital Mpawenayo</t>
  </si>
  <si>
    <t>ridomil sprayed once</t>
  </si>
  <si>
    <t>rwibaga</t>
  </si>
  <si>
    <t>Eric Ruresha</t>
  </si>
  <si>
    <t>manure and urea</t>
  </si>
  <si>
    <t>maize and garden peas</t>
  </si>
  <si>
    <t>Kyarusera</t>
  </si>
  <si>
    <t>Mukike</t>
  </si>
  <si>
    <t>Rukina</t>
  </si>
  <si>
    <t>Kanyunya</t>
  </si>
  <si>
    <t>Dismus Badogomba</t>
  </si>
  <si>
    <t>Garden peas and sorghum</t>
  </si>
  <si>
    <t>yes but doesn’t know name</t>
  </si>
  <si>
    <t>Dithane</t>
  </si>
  <si>
    <t>Kankima</t>
  </si>
  <si>
    <t>Rutambiro</t>
  </si>
  <si>
    <t>Ndabirinde Tharcise</t>
  </si>
  <si>
    <t>Christan</t>
  </si>
  <si>
    <t>cabbage and sorghum</t>
  </si>
  <si>
    <t>Bavugiruhoze Damien</t>
  </si>
  <si>
    <t>Ndayisaba Daphine</t>
  </si>
  <si>
    <t>Mukabo</t>
  </si>
  <si>
    <t>Sakubu Mecho</t>
  </si>
  <si>
    <t>taro</t>
  </si>
  <si>
    <t>Mugoyi</t>
  </si>
  <si>
    <t>Leonard Ndikumana</t>
  </si>
  <si>
    <t>nyamugari</t>
  </si>
  <si>
    <t>Nkurunziza Oscar</t>
  </si>
  <si>
    <t>manure and DAP</t>
  </si>
  <si>
    <t>Ndayishimiye</t>
  </si>
  <si>
    <t>maize, sweetpotato and taro</t>
  </si>
  <si>
    <t>kibira</t>
  </si>
  <si>
    <t>Ndikumana Diedonie</t>
  </si>
  <si>
    <t>Mayuyu</t>
  </si>
  <si>
    <t>Rusambira</t>
  </si>
  <si>
    <t>Harerimana Petron</t>
  </si>
  <si>
    <t>Barankeba Didier</t>
  </si>
  <si>
    <t>Thomas</t>
  </si>
  <si>
    <t>dithane</t>
  </si>
  <si>
    <t>Mujejuru</t>
  </si>
  <si>
    <t>Gahungu Joseph</t>
  </si>
  <si>
    <t>berry formation</t>
  </si>
  <si>
    <t>Rambira</t>
  </si>
  <si>
    <t>Simeo Ntayo</t>
  </si>
  <si>
    <t>manure and dap</t>
  </si>
  <si>
    <t>Theodor Buchumi</t>
  </si>
  <si>
    <t>pod formation</t>
  </si>
  <si>
    <t>NPK and manure (plus lime)</t>
  </si>
  <si>
    <t xml:space="preserve">maize </t>
  </si>
  <si>
    <t>dithane once</t>
  </si>
  <si>
    <t>Rucamo</t>
  </si>
  <si>
    <t>Gastor Hakiza</t>
  </si>
  <si>
    <t>manure, dap and lime</t>
  </si>
  <si>
    <t>Mkurunziza</t>
  </si>
  <si>
    <t>Kinyange</t>
  </si>
  <si>
    <t>dieudone</t>
  </si>
  <si>
    <t>Nsabimana Ildegonde</t>
  </si>
  <si>
    <t>Second</t>
  </si>
  <si>
    <t>Bubanza</t>
  </si>
  <si>
    <t>Rugazi</t>
  </si>
  <si>
    <t>Kabangashashara</t>
  </si>
  <si>
    <t>Ruce</t>
  </si>
  <si>
    <t>Ndayishimiye Athanase</t>
  </si>
  <si>
    <t>Flowering</t>
  </si>
  <si>
    <t>Victoria, ndindamagara</t>
  </si>
  <si>
    <t>Manure</t>
  </si>
  <si>
    <t>Kirimbi</t>
  </si>
  <si>
    <t>Elie</t>
  </si>
  <si>
    <t>None</t>
  </si>
  <si>
    <t>sweetpotato, peas, maize</t>
  </si>
  <si>
    <t>Concile</t>
  </si>
  <si>
    <t>Ingabire</t>
  </si>
  <si>
    <t>Manure, NPK and DAP</t>
  </si>
  <si>
    <t>Maize</t>
  </si>
  <si>
    <t>Dithane thrice</t>
  </si>
  <si>
    <t>Musigati</t>
  </si>
  <si>
    <t>Bitare</t>
  </si>
  <si>
    <t>Muyebe</t>
  </si>
  <si>
    <t>Wellars</t>
  </si>
  <si>
    <t>Uganda 11</t>
  </si>
  <si>
    <t>Maize, taro</t>
  </si>
  <si>
    <t>Dithane twice</t>
  </si>
  <si>
    <t>Bugarama</t>
  </si>
  <si>
    <t>Mpehe</t>
  </si>
  <si>
    <t>Deo Bigirimana</t>
  </si>
  <si>
    <t>Manure, DAP</t>
  </si>
  <si>
    <t>sweetpotato, beans, maize, peas</t>
  </si>
  <si>
    <t>bujumbura</t>
  </si>
  <si>
    <t>nyabiraba</t>
  </si>
  <si>
    <t>bubaji</t>
  </si>
  <si>
    <t>sindiwenumwe simeon</t>
  </si>
  <si>
    <t>ridomil twice</t>
  </si>
  <si>
    <t>Rugeyo</t>
  </si>
  <si>
    <t>Ntamba</t>
  </si>
  <si>
    <t>Ngenzemake Sylivester</t>
  </si>
  <si>
    <t>Manure, DAP, Urea</t>
  </si>
  <si>
    <t>Bujumbura</t>
  </si>
  <si>
    <t>Goyigoyi</t>
  </si>
  <si>
    <t>manure at planting</t>
  </si>
  <si>
    <t>maize and cassava</t>
  </si>
  <si>
    <t>Dithane once</t>
  </si>
  <si>
    <t>Nzigoyabagore Ernest</t>
  </si>
  <si>
    <t>berry maturity</t>
  </si>
  <si>
    <t>Ntezirije Javier</t>
  </si>
  <si>
    <t>Nyabisiga</t>
  </si>
  <si>
    <t>DAP</t>
  </si>
  <si>
    <t>pumpkin, beans, maize, sweetpotato</t>
  </si>
  <si>
    <t>Tegetse Sylvestre</t>
  </si>
  <si>
    <t>peas</t>
  </si>
  <si>
    <t>Dithane four times</t>
  </si>
  <si>
    <t>Egide Ntihabose</t>
  </si>
  <si>
    <t>Bukeye</t>
  </si>
  <si>
    <t>Busekera</t>
  </si>
  <si>
    <t>Anicet Baranyizigiye</t>
  </si>
  <si>
    <t>Manure, NPK, DAP and urea at planting</t>
  </si>
  <si>
    <t xml:space="preserve">profennofos (twice) </t>
  </si>
  <si>
    <t>Buhoro</t>
  </si>
  <si>
    <t>Mugongo</t>
  </si>
  <si>
    <t>Makado</t>
  </si>
  <si>
    <t>Ryaruseza</t>
  </si>
  <si>
    <t>Gakemke</t>
  </si>
  <si>
    <t>Stanyslas Bigirimana</t>
  </si>
  <si>
    <t>mnure, DAP</t>
  </si>
  <si>
    <t>Maize, peas, beans</t>
  </si>
  <si>
    <t>murunga</t>
  </si>
  <si>
    <t>jenda</t>
  </si>
  <si>
    <t>Hakizimana Stany</t>
  </si>
  <si>
    <t>Mabondo, Ndinamagara</t>
  </si>
  <si>
    <t>Ridomil once</t>
  </si>
  <si>
    <t>Gisarwe</t>
  </si>
  <si>
    <t>Gaspard Nurwaha</t>
  </si>
  <si>
    <t>Sweetpotato, Taro</t>
  </si>
  <si>
    <t>Joseph Baranyikwa</t>
  </si>
  <si>
    <t>maize, peas and sweetpotato</t>
  </si>
  <si>
    <t>Kibogoye</t>
  </si>
  <si>
    <t>Celene Nshimiramana</t>
  </si>
  <si>
    <t>manure, DAP</t>
  </si>
  <si>
    <t>maize, beans</t>
  </si>
  <si>
    <t>Mutobo</t>
  </si>
  <si>
    <t>Ndayizeye Athanase</t>
  </si>
  <si>
    <t>Frediane</t>
  </si>
  <si>
    <t>Sinzomenya Sixte</t>
  </si>
  <si>
    <t>Mayugi Deo</t>
  </si>
  <si>
    <t>2</t>
  </si>
  <si>
    <t>Manure,DAP, Urea</t>
  </si>
  <si>
    <t>Nyamugali</t>
  </si>
  <si>
    <t>Manirakiza Eric</t>
  </si>
  <si>
    <t>Manure and DAP</t>
  </si>
  <si>
    <t>Ridomil (twice)</t>
  </si>
  <si>
    <t>mugongo</t>
  </si>
  <si>
    <t>kayoyo</t>
  </si>
  <si>
    <t>Ndayishimye Bernarld</t>
  </si>
  <si>
    <t>Ntahoturi</t>
  </si>
  <si>
    <t>Niyongabo Thierry</t>
  </si>
  <si>
    <t>Dithane, twice</t>
  </si>
  <si>
    <t>Ntihabose Gaudence</t>
  </si>
  <si>
    <t>Manure,</t>
  </si>
  <si>
    <t>Nsanzurwimo Philippe</t>
  </si>
  <si>
    <t>maize and peas</t>
  </si>
  <si>
    <t>Nzimenya</t>
  </si>
  <si>
    <t>Kibira</t>
  </si>
  <si>
    <t>Ndayisaba Leonisha</t>
  </si>
  <si>
    <t>Njebarikamye Stany</t>
  </si>
  <si>
    <t>Dithane, thrice</t>
  </si>
  <si>
    <t>Ruzibazi</t>
  </si>
  <si>
    <t>Nshimiyimana Felicien</t>
  </si>
  <si>
    <t>Maceri Gerald</t>
  </si>
  <si>
    <t>Kaboneka</t>
  </si>
  <si>
    <t>Sigi Rubirizi</t>
  </si>
  <si>
    <t>Dithane and Ridomil, thrice</t>
  </si>
  <si>
    <t>Nibogora Gaudance</t>
  </si>
  <si>
    <t>Peas and beans</t>
  </si>
  <si>
    <t>ridomil once</t>
  </si>
  <si>
    <t>Rwanda</t>
  </si>
  <si>
    <t>Musanze</t>
  </si>
  <si>
    <t>Muko</t>
  </si>
  <si>
    <t>Kivugiza</t>
  </si>
  <si>
    <t>Karebero</t>
  </si>
  <si>
    <t>Erias</t>
  </si>
  <si>
    <t>oj</t>
  </si>
  <si>
    <t>Kinigi</t>
  </si>
  <si>
    <t>NPK and maure at planting</t>
  </si>
  <si>
    <t>Susa</t>
  </si>
  <si>
    <t>Leoniya Ntibusaganeza</t>
  </si>
  <si>
    <t>Kinigi and Kirundo</t>
  </si>
  <si>
    <t>Thioda twice</t>
  </si>
  <si>
    <t>Dithane thrice, ridomil once</t>
  </si>
  <si>
    <t>Kamutana</t>
  </si>
  <si>
    <t>Makinata coperative</t>
  </si>
  <si>
    <t>missing</t>
  </si>
  <si>
    <t>Gashaki</t>
  </si>
  <si>
    <t>Mbwe</t>
  </si>
  <si>
    <t>Ngambi</t>
  </si>
  <si>
    <t>Faustin Ntawumwiryumwe</t>
  </si>
  <si>
    <t>Rwangume</t>
  </si>
  <si>
    <t>Manure and DAP at planting</t>
  </si>
  <si>
    <t>Deltamethrine once</t>
  </si>
  <si>
    <t>Dithane once, ridomil once</t>
  </si>
  <si>
    <t>1 cutworm seen</t>
  </si>
  <si>
    <t>Cyuve</t>
  </si>
  <si>
    <t>Bukinanyana</t>
  </si>
  <si>
    <t>Rugeshi</t>
  </si>
  <si>
    <t>Innocent Hitimana</t>
  </si>
  <si>
    <t>Rwashaki</t>
  </si>
  <si>
    <t>Manure at planting, urea at 1 month</t>
  </si>
  <si>
    <t>Dithane twice, ridomil once</t>
  </si>
  <si>
    <t>Cyanya</t>
  </si>
  <si>
    <t>Mubari</t>
  </si>
  <si>
    <t>Maria Nyirabwende</t>
  </si>
  <si>
    <t>DAP and manure at planting, urea at 1.5 months</t>
  </si>
  <si>
    <t>banana and maize</t>
  </si>
  <si>
    <t>Cypermethrin 5%</t>
  </si>
  <si>
    <t>Dithane six times and Ridomil thrice</t>
  </si>
  <si>
    <t>Mubuga</t>
  </si>
  <si>
    <t>Marcelline Uwamahoro</t>
  </si>
  <si>
    <t>Dithane eight times, ridomil twice</t>
  </si>
  <si>
    <t>Gacaca</t>
  </si>
  <si>
    <t>Karwasa</t>
  </si>
  <si>
    <t>Kayumu</t>
  </si>
  <si>
    <t>Alphonse Bimenyimana</t>
  </si>
  <si>
    <t>Burera</t>
  </si>
  <si>
    <t>Kagogo</t>
  </si>
  <si>
    <t>Kabaya</t>
  </si>
  <si>
    <t>Rukenke</t>
  </si>
  <si>
    <t>Sylivia Kakuza</t>
  </si>
  <si>
    <t>Manure and NPK at planting</t>
  </si>
  <si>
    <t>Kanaba</t>
  </si>
  <si>
    <t>Anne Maria Nyirankuriza</t>
  </si>
  <si>
    <t>Manure at planting</t>
  </si>
  <si>
    <t>Kinyababa</t>
  </si>
  <si>
    <t>Bugamba</t>
  </si>
  <si>
    <t>Gatovu</t>
  </si>
  <si>
    <t>Leonilla</t>
  </si>
  <si>
    <t>Rwamgume</t>
  </si>
  <si>
    <t>Kiringa</t>
  </si>
  <si>
    <t>Gisanze</t>
  </si>
  <si>
    <t>Mbonabucya</t>
  </si>
  <si>
    <t>Kabeza</t>
  </si>
  <si>
    <t>Bucuzi</t>
  </si>
  <si>
    <t>Nyirbasika</t>
  </si>
  <si>
    <t>Kiningi (Ug)</t>
  </si>
  <si>
    <t>5kg pf manure and urea at planting</t>
  </si>
  <si>
    <t>Kioda, once</t>
  </si>
  <si>
    <t>Ridomil 8 times (weekly for 3 months)</t>
  </si>
  <si>
    <t>Gashangiro</t>
  </si>
  <si>
    <t>Nyiramahirwe Venancia</t>
  </si>
  <si>
    <t>10kg of NPK at planting</t>
  </si>
  <si>
    <t>Kioda, once at 1.5 months</t>
  </si>
  <si>
    <t>Dithane at 1 month after planting and once weekly</t>
  </si>
  <si>
    <t>Gahunga</t>
  </si>
  <si>
    <t>Rwasa</t>
  </si>
  <si>
    <t>Kanyiramusenga</t>
  </si>
  <si>
    <t>Mberabagabo ETG</t>
  </si>
  <si>
    <t>Peko</t>
  </si>
  <si>
    <t>Rwerere</t>
  </si>
  <si>
    <t>Gacundura</t>
  </si>
  <si>
    <t>Moma</t>
  </si>
  <si>
    <t>Tubane Bonaventure</t>
  </si>
  <si>
    <t>Rutuku</t>
  </si>
  <si>
    <t>Manure before planting</t>
  </si>
  <si>
    <t>Cyeru</t>
  </si>
  <si>
    <t>Ruyange</t>
  </si>
  <si>
    <t>Turamyimana Florence</t>
  </si>
  <si>
    <t>banana</t>
  </si>
  <si>
    <t>Nyange</t>
  </si>
  <si>
    <t>Kamwumba</t>
  </si>
  <si>
    <t>Musenyi</t>
  </si>
  <si>
    <t>Ntibakabuze Madrine</t>
  </si>
  <si>
    <t>Cruza</t>
  </si>
  <si>
    <t>Manure and NPK at planting, NPK and DAP at 1.5 months</t>
  </si>
  <si>
    <t>Ridomil and Diathane, five times since germination</t>
  </si>
  <si>
    <t>Kaganda</t>
  </si>
  <si>
    <t>Ruhinga</t>
  </si>
  <si>
    <t>Manishimwe Pascasie</t>
  </si>
  <si>
    <t>Butaro</t>
  </si>
  <si>
    <t>Rusumo</t>
  </si>
  <si>
    <t>Kabahura</t>
  </si>
  <si>
    <t>Zayite</t>
  </si>
  <si>
    <t>Cyasenge</t>
  </si>
  <si>
    <t>Rwemera JeanClaude</t>
  </si>
  <si>
    <t>Rugali</t>
  </si>
  <si>
    <t>Mukanzita Dorosera</t>
  </si>
  <si>
    <t>5kg of NPK and manure at planting, 5kg NPK at 1.5 months</t>
  </si>
  <si>
    <t>Ridomil twice and Dithane five times</t>
  </si>
  <si>
    <t>Ruhunde</t>
  </si>
  <si>
    <t>Gitovu</t>
  </si>
  <si>
    <t>Genda</t>
  </si>
  <si>
    <t>Mukarurangwa Veronica</t>
  </si>
  <si>
    <t>Cyanika</t>
  </si>
  <si>
    <t>Kagitega</t>
  </si>
  <si>
    <t>Kanambo</t>
  </si>
  <si>
    <t>Semahene John</t>
  </si>
  <si>
    <t>Simikombi thrice</t>
  </si>
  <si>
    <t>Nyabihu</t>
  </si>
  <si>
    <t>Jomba</t>
  </si>
  <si>
    <t>Gasura</t>
  </si>
  <si>
    <t>Kagano</t>
  </si>
  <si>
    <t>Ntawizera Consolata</t>
  </si>
  <si>
    <t>Peko and Cruza</t>
  </si>
  <si>
    <t>sweetpotato</t>
  </si>
  <si>
    <t>Ngororero</t>
  </si>
  <si>
    <t>Kiyovu</t>
  </si>
  <si>
    <t>Nyirahabimana</t>
  </si>
  <si>
    <t>Dithane four times, ridomil four times</t>
  </si>
  <si>
    <t>Ryakagundu</t>
  </si>
  <si>
    <t>Mwiseneza Marcel</t>
  </si>
  <si>
    <t>thioda thrice</t>
  </si>
  <si>
    <t>Gasoloza</t>
  </si>
  <si>
    <t>Ndahayo Verstin</t>
  </si>
  <si>
    <t>NPK at planting and weeding</t>
  </si>
  <si>
    <t>Dithane eight times</t>
  </si>
  <si>
    <t>Nyangwe</t>
  </si>
  <si>
    <t>Gikoro</t>
  </si>
  <si>
    <t>Ntibarigamira Francois</t>
  </si>
  <si>
    <t>NPK at planting</t>
  </si>
  <si>
    <t>Simakombi four times</t>
  </si>
  <si>
    <t>Dithane and ridomil four times</t>
  </si>
  <si>
    <t>Busogo</t>
  </si>
  <si>
    <t>Sahara</t>
  </si>
  <si>
    <t>Nyiragaju</t>
  </si>
  <si>
    <t>Uwimana Media</t>
  </si>
  <si>
    <t>Dithane four times, Ridomil twice</t>
  </si>
  <si>
    <t>Ntamahungiro Balthazar</t>
  </si>
  <si>
    <t>Gaseke</t>
  </si>
  <si>
    <t>Murambo</t>
  </si>
  <si>
    <t>Muhawenimana Patricia</t>
  </si>
  <si>
    <t>Rambura</t>
  </si>
  <si>
    <t>Birembo</t>
  </si>
  <si>
    <t>Mariba</t>
  </si>
  <si>
    <t>Habiyaremye Frodonard</t>
  </si>
  <si>
    <t>Cruza, Kuruseke, Nyirakabondo and Rwashaki</t>
  </si>
  <si>
    <t>Mukamiira</t>
  </si>
  <si>
    <t>Rurengeri</t>
  </si>
  <si>
    <t>Kibugazi</t>
  </si>
  <si>
    <t>Nterehose</t>
  </si>
  <si>
    <t>Cypermethrin once</t>
  </si>
  <si>
    <t>Dithane seven times, ridomil twice</t>
  </si>
  <si>
    <t>Kintobo</t>
  </si>
  <si>
    <t>Karucunanya</t>
  </si>
  <si>
    <t>Turikumategeko Leonard</t>
  </si>
  <si>
    <t>Dithane five times, ridomil twice</t>
  </si>
  <si>
    <t>Gahungu</t>
  </si>
  <si>
    <t>Buramba</t>
  </si>
  <si>
    <t>Kagoma</t>
  </si>
  <si>
    <t>Ntabisahimana Jackie</t>
  </si>
  <si>
    <t>NPK and DAP at planting</t>
  </si>
  <si>
    <t>Rusekera</t>
  </si>
  <si>
    <t>Matyazo</t>
  </si>
  <si>
    <t>Hatashimana Salvatrice</t>
  </si>
  <si>
    <t>Ridomil twice</t>
  </si>
  <si>
    <t>Ruconsho</t>
  </si>
  <si>
    <t>Kamatengu</t>
  </si>
  <si>
    <t>Nsanzamahoro Augustin</t>
  </si>
  <si>
    <t>Makoroni and Rwangume</t>
  </si>
  <si>
    <t>Rwankeri</t>
  </si>
  <si>
    <t>Kayirere Balinda Potty</t>
  </si>
  <si>
    <t>DAP at planting</t>
  </si>
  <si>
    <t>Gasiza</t>
  </si>
  <si>
    <t>Kalisimbi</t>
  </si>
  <si>
    <t>Ndayimbaje kigingi</t>
  </si>
  <si>
    <t xml:space="preserve">Manure and NPK at planting </t>
  </si>
  <si>
    <t>Simikombi five times</t>
  </si>
  <si>
    <t>Dithane five times, ridomil thrice</t>
  </si>
  <si>
    <t>RAB substation</t>
  </si>
  <si>
    <t>Rwagasore Fabien</t>
  </si>
  <si>
    <t>Kirundo</t>
  </si>
  <si>
    <t>Manure and NPK at planting, NPK at two weeks after planting</t>
  </si>
  <si>
    <t>cypermethrin four times</t>
  </si>
  <si>
    <t>Dithane four times, ridomil once</t>
  </si>
  <si>
    <t>Muhinzimwolozi Emma</t>
  </si>
  <si>
    <t>Manure and NPK at planting time</t>
  </si>
  <si>
    <t>Gataraga</t>
  </si>
  <si>
    <t>Rungu</t>
  </si>
  <si>
    <t>Nyirabagoyi Lucia</t>
  </si>
  <si>
    <t>Kiningi</t>
  </si>
  <si>
    <t>Muhanda</t>
  </si>
  <si>
    <t>Masha</t>
  </si>
  <si>
    <t>Rubaya</t>
  </si>
  <si>
    <t>Mukeshimana jdare</t>
  </si>
  <si>
    <t>Rugarama</t>
  </si>
  <si>
    <t>Cyahi</t>
  </si>
  <si>
    <t>Busura</t>
  </si>
  <si>
    <t>Niyibigira Innocent</t>
  </si>
  <si>
    <t>Simikombe thrice</t>
  </si>
  <si>
    <t>Rubande</t>
  </si>
  <si>
    <t>Nyiramwiza Olive</t>
  </si>
  <si>
    <t>Nyamicucu</t>
  </si>
  <si>
    <t>Gari</t>
  </si>
  <si>
    <t>Mabuti Muvaha</t>
  </si>
  <si>
    <t>Jenda</t>
  </si>
  <si>
    <t>Nteranya</t>
  </si>
  <si>
    <t>Nyirakigugu</t>
  </si>
  <si>
    <t>Ndayambaje Damascene</t>
  </si>
  <si>
    <t>Kuruseke and Nyabizi</t>
  </si>
  <si>
    <t>Nyabuhinja Vedaste</t>
  </si>
  <si>
    <t>Dithane five times</t>
  </si>
  <si>
    <t>Kanago</t>
  </si>
  <si>
    <t>Cyamabuye</t>
  </si>
  <si>
    <t>Rubare</t>
  </si>
  <si>
    <t>Uwimana Bosco</t>
  </si>
  <si>
    <t>Makoroni and Nyirakabondo</t>
  </si>
  <si>
    <t>Dithane seven times, ridomil thrice</t>
  </si>
  <si>
    <t>Kampanga</t>
  </si>
  <si>
    <t>Rungi</t>
  </si>
  <si>
    <t>Ndiramiye Theoneste</t>
  </si>
  <si>
    <t>Manure and NPK at planting and NPK at 1.5months</t>
  </si>
  <si>
    <t>Dithane eight times in 2 months and Ridomil once</t>
  </si>
  <si>
    <t>Kitombo</t>
  </si>
  <si>
    <t>Ntamakiriro Darmacy</t>
  </si>
  <si>
    <t>Ezekiel Bunyemugenzi</t>
  </si>
  <si>
    <t>Kuruseke</t>
  </si>
  <si>
    <t>Manure and NPK at planting, NPK at 1.5 months</t>
  </si>
  <si>
    <t>Dithane ten times and ridomil thrice</t>
  </si>
  <si>
    <t>Kaguhu</t>
  </si>
  <si>
    <t>Musinge</t>
  </si>
  <si>
    <t>Ndibeshye Doment</t>
  </si>
  <si>
    <t>NPK at planting and at 1.5 months</t>
  </si>
  <si>
    <t>Dithane five times and Ridomil two times</t>
  </si>
  <si>
    <t>Akabeza</t>
  </si>
  <si>
    <t>Sebategu</t>
  </si>
  <si>
    <t>Manure at planting, DAP and manure at 1.5 months</t>
  </si>
  <si>
    <t>Dithane six times and Ridomil twice</t>
  </si>
  <si>
    <t>Guriro</t>
  </si>
  <si>
    <t>Bashimirimana</t>
  </si>
  <si>
    <t>Makoroni, Nyirakabondo and Nyabizi</t>
  </si>
  <si>
    <t>Kampande</t>
  </si>
  <si>
    <t>Bunane Ziripa</t>
  </si>
  <si>
    <t>Dithane eight times and ridomil thrice</t>
  </si>
  <si>
    <t>Nyundo</t>
  </si>
  <si>
    <t>Nyirabikari Lucie</t>
  </si>
  <si>
    <t>Kinigi, Cruza and Petero</t>
  </si>
  <si>
    <t>DAP and NPK at planting and at 1.5 months</t>
  </si>
  <si>
    <t>Dithane eight times and Ridomil twice</t>
  </si>
  <si>
    <t>Shingiro</t>
  </si>
  <si>
    <t>Mudende</t>
  </si>
  <si>
    <t>Nyamitende</t>
  </si>
  <si>
    <t>Martha Tumuhabe</t>
  </si>
  <si>
    <t>Kirundo and Makoroni</t>
  </si>
  <si>
    <t>DAP and Urea at planting</t>
  </si>
  <si>
    <t>Mugari</t>
  </si>
  <si>
    <t>Rebero</t>
  </si>
  <si>
    <t>Manyanyirama</t>
  </si>
  <si>
    <t xml:space="preserve">Cruza, Kuruseke and Nyirakabondo </t>
  </si>
  <si>
    <t>Impano</t>
  </si>
  <si>
    <t>Joseph Shirambere</t>
  </si>
  <si>
    <t>Manure at planting, NPK at planting and at 2months, Urea at two months</t>
  </si>
  <si>
    <t>Dithane eight times and Ridomil thrice</t>
  </si>
  <si>
    <t>Rwaza</t>
  </si>
  <si>
    <t>Musenzero</t>
  </si>
  <si>
    <t>Nyaharambi</t>
  </si>
  <si>
    <t>Hategikimana Faustel</t>
  </si>
  <si>
    <t>Manure (550 kgs)and NPK (100kg)</t>
  </si>
  <si>
    <t>Dithane and Ridomil (four times)</t>
  </si>
  <si>
    <t>Gakenke</t>
  </si>
  <si>
    <t>Busengo</t>
  </si>
  <si>
    <t>Birambo</t>
  </si>
  <si>
    <t>Nyirandikubwimana Susan</t>
  </si>
  <si>
    <t>Mushimiyimana</t>
  </si>
  <si>
    <t>Manure (150kg), NPK (4 Kg) at planting</t>
  </si>
  <si>
    <t>Dithane and ridomil (six times)</t>
  </si>
  <si>
    <t>Rusaga</t>
  </si>
  <si>
    <t>Kamanyi</t>
  </si>
  <si>
    <t>Rurambi</t>
  </si>
  <si>
    <t>Nyiramohane Alphonse</t>
  </si>
  <si>
    <t>Makoroni</t>
  </si>
  <si>
    <t>Kinoni</t>
  </si>
  <si>
    <t>Nkumba</t>
  </si>
  <si>
    <t>Mbaya</t>
  </si>
  <si>
    <t>Munyambonera Jean Damacien</t>
  </si>
  <si>
    <t>Manure (750kg) at planting</t>
  </si>
  <si>
    <t>Dithane (five times)</t>
  </si>
  <si>
    <t>Gatare</t>
  </si>
  <si>
    <t>JVM Kwigize</t>
  </si>
  <si>
    <t>Manure at Planting (about 300kg)</t>
  </si>
  <si>
    <t>Victory twice a month</t>
  </si>
  <si>
    <t xml:space="preserve">Bukinanyana </t>
  </si>
  <si>
    <t>Mwirangi</t>
  </si>
  <si>
    <t>Bariyanga John</t>
  </si>
  <si>
    <t>NPK (10kg)</t>
  </si>
  <si>
    <t>Dithane once, ridomil thrice</t>
  </si>
  <si>
    <t>Pontien</t>
  </si>
  <si>
    <t>Mukambogoya</t>
  </si>
  <si>
    <t>Twagirumukiza Jesca</t>
  </si>
  <si>
    <t>NPK (4kg) and Manure (150kg) at planting</t>
  </si>
  <si>
    <t>Runogo</t>
  </si>
  <si>
    <t>Musekera</t>
  </si>
  <si>
    <t>Migeshu</t>
  </si>
  <si>
    <t>Nyamyaga</t>
  </si>
  <si>
    <t>Esperance Nyirakagori</t>
  </si>
  <si>
    <t>Rundarunda</t>
  </si>
  <si>
    <t>Manure (150kg) at planting</t>
  </si>
  <si>
    <t>maize and banana</t>
  </si>
  <si>
    <t>Dithane three times a month)</t>
  </si>
  <si>
    <t>Nyamabuye</t>
  </si>
  <si>
    <t>Nyampina</t>
  </si>
  <si>
    <t>Nsimiyimana Jean baptise</t>
  </si>
  <si>
    <t>Manure (900kg)</t>
  </si>
  <si>
    <t>Thioda</t>
  </si>
  <si>
    <t>Musasa</t>
  </si>
  <si>
    <t>Kamusaba</t>
  </si>
  <si>
    <t>Mukabagine Jean da maciene</t>
  </si>
  <si>
    <t>Mbube</t>
  </si>
  <si>
    <t>Manure (200kg)</t>
  </si>
  <si>
    <t>cypermethrine</t>
  </si>
  <si>
    <t>Janja</t>
  </si>
  <si>
    <t>Burega</t>
  </si>
  <si>
    <t>Kagashyahiba</t>
  </si>
  <si>
    <t>Harerimana</t>
  </si>
  <si>
    <t>Manure (800kg) and NPK (6kg)</t>
  </si>
  <si>
    <t>Dithane (twice)</t>
  </si>
  <si>
    <t>Kangaboka</t>
  </si>
  <si>
    <t>Kamarande Charles</t>
  </si>
  <si>
    <t>Cypermethrin</t>
  </si>
  <si>
    <t>Rusarabuye</t>
  </si>
  <si>
    <t>Ndago</t>
  </si>
  <si>
    <t>Kirambo</t>
  </si>
  <si>
    <t>Bosenibumwe Esperance</t>
  </si>
  <si>
    <t>Manure (250kg) at planting</t>
  </si>
  <si>
    <t>Dithane and Ridomil (seven times)</t>
  </si>
  <si>
    <t>Prosper Shoferi</t>
  </si>
  <si>
    <t>Prudence Maniriho</t>
  </si>
  <si>
    <t>NPK (25kg) at planting</t>
  </si>
  <si>
    <t>cypermethrin</t>
  </si>
  <si>
    <t>Nzigiyima Gabriel</t>
  </si>
  <si>
    <t>Manure (150kg) NPK 2kg</t>
  </si>
  <si>
    <t>Kibingo</t>
  </si>
  <si>
    <t>Mukurarinda Theonest</t>
  </si>
  <si>
    <t>Manure and NPK (15kg) at planting</t>
  </si>
  <si>
    <t>Dithane (twice a month)</t>
  </si>
  <si>
    <t>Nganzo</t>
  </si>
  <si>
    <t>Burimba</t>
  </si>
  <si>
    <t>Kabinigi Copard</t>
  </si>
  <si>
    <t>Justin Habumugisha</t>
  </si>
  <si>
    <t>Petero</t>
  </si>
  <si>
    <t>Beans</t>
  </si>
  <si>
    <t>Musongati</t>
  </si>
  <si>
    <t>Akimanizanye Budesiyana</t>
  </si>
  <si>
    <t>manure at planting and NPK</t>
  </si>
  <si>
    <t>Dithane, twice a month</t>
  </si>
  <si>
    <t>Gafumba</t>
  </si>
  <si>
    <t>Gacogo</t>
  </si>
  <si>
    <t>Felicien Uwamahoro</t>
  </si>
  <si>
    <t>NPK (5kg) at planting</t>
  </si>
  <si>
    <t>Dithane four times, Ridomil once</t>
  </si>
  <si>
    <t>Gakingo</t>
  </si>
  <si>
    <t>Burengo</t>
  </si>
  <si>
    <t>Abraham</t>
  </si>
  <si>
    <t>Nyanduri Emmanuel</t>
  </si>
  <si>
    <t>an</t>
  </si>
  <si>
    <t>Manure (300kg) and NPK (8kg) at planting, NPK (6kg) at weeding</t>
  </si>
  <si>
    <t>Dithane (three times) and Ridomil</t>
  </si>
  <si>
    <t>Ruth</t>
  </si>
  <si>
    <t>Gitanda</t>
  </si>
  <si>
    <t>Ndayiringiye</t>
  </si>
  <si>
    <t>Mbumbe</t>
  </si>
  <si>
    <t>Muhabura</t>
  </si>
  <si>
    <t>Ruguriro</t>
  </si>
  <si>
    <t>Ntibansekeye JP</t>
  </si>
  <si>
    <t>Manure (500kg), NPK (130kg) at planting</t>
  </si>
  <si>
    <t>Dithane (once a month)</t>
  </si>
  <si>
    <t>Gisesero</t>
  </si>
  <si>
    <t>Jabiro</t>
  </si>
  <si>
    <t>Twagirayizu JVM</t>
  </si>
  <si>
    <t>Manure (100kg), NPK (4kg) at planting</t>
  </si>
  <si>
    <t>Nyiranzayaha Vestine</t>
  </si>
  <si>
    <t>NPK (50kg) at planting</t>
  </si>
  <si>
    <t>Muremurere</t>
  </si>
  <si>
    <t>Harerimana Donatien</t>
  </si>
  <si>
    <t>Makerere</t>
  </si>
  <si>
    <t>Manure (100kg), NPK (2kg) at planting</t>
  </si>
  <si>
    <t>Dithane and Ridomil (once a month)</t>
  </si>
  <si>
    <t>Nyagahunga</t>
  </si>
  <si>
    <t>Nyagahingo</t>
  </si>
  <si>
    <t>Maninga</t>
  </si>
  <si>
    <t>Ditane four times</t>
  </si>
  <si>
    <t>Hahyamubere</t>
  </si>
  <si>
    <t>Manure (500kg), NPK (40kg) at planting</t>
  </si>
  <si>
    <t>Dithane (eight times) and Ridomil</t>
  </si>
  <si>
    <t>Gahirikiro</t>
  </si>
  <si>
    <t>Gasore</t>
  </si>
  <si>
    <t>NPK (50kg) at planting, Urea at feeding</t>
  </si>
  <si>
    <t>Dithane three times</t>
  </si>
  <si>
    <t>Kageshi</t>
  </si>
  <si>
    <t>Ruzigambuzi Felicius</t>
  </si>
  <si>
    <t>Manure (1000kg) and NPK (150kg)</t>
  </si>
  <si>
    <t>Rerengeri</t>
  </si>
  <si>
    <t>Nezehose leonard</t>
  </si>
  <si>
    <t>Manure (350kg), NPK (70kg)</t>
  </si>
  <si>
    <t xml:space="preserve">Dithane (twice) and Ridomil </t>
  </si>
  <si>
    <t>Manirafasha</t>
  </si>
  <si>
    <t>Manure (150kg) and NPK (0.5kg) at planting</t>
  </si>
  <si>
    <t>Gakeke</t>
  </si>
  <si>
    <t>Rukwavu</t>
  </si>
  <si>
    <t>Leonida Ukizuru</t>
  </si>
  <si>
    <t>Ninda</t>
  </si>
  <si>
    <t>Kabara</t>
  </si>
  <si>
    <t>Sinaribonye Fidel</t>
  </si>
  <si>
    <t>Manure (300kg) and NPK (25kg) at planting</t>
  </si>
  <si>
    <t>Dithane (twice a month) and Omex twice</t>
  </si>
  <si>
    <t>Gatete</t>
  </si>
  <si>
    <t>Shiragahinda Theresphore</t>
  </si>
  <si>
    <t>Manure (300kg) and NPK (5kg) at planting</t>
  </si>
  <si>
    <t>Bugambanyoni</t>
  </si>
  <si>
    <t>Rwemerakaje Felicien</t>
  </si>
  <si>
    <t>Manure (600kg), NPK (3kg) at planting and NPK(3kg) at weeding</t>
  </si>
  <si>
    <t>Mugera</t>
  </si>
  <si>
    <t>Ntakontagize Felicien</t>
  </si>
  <si>
    <t>Rugamagara</t>
  </si>
  <si>
    <t>Mutabazi</t>
  </si>
  <si>
    <t>Karago</t>
  </si>
  <si>
    <t>Kinyanja</t>
  </si>
  <si>
    <t>Nyirahabingama</t>
  </si>
  <si>
    <t>Makaroni</t>
  </si>
  <si>
    <t>manure (150kg and NPK (15kg) at planting</t>
  </si>
  <si>
    <t>Dithane (seven times) and Ridomil</t>
  </si>
  <si>
    <t>Ruhanga</t>
  </si>
  <si>
    <t>Rutoro</t>
  </si>
  <si>
    <t>Musengimana</t>
  </si>
  <si>
    <t>Emmanuel Ngerageze</t>
  </si>
  <si>
    <t>maize and beans</t>
  </si>
  <si>
    <t>Venant Dunai</t>
  </si>
  <si>
    <t>Manure at planting (100kg)</t>
  </si>
  <si>
    <t>wheat</t>
  </si>
  <si>
    <t>Mukamutoni Solaya</t>
  </si>
  <si>
    <t>NPK (20kg)</t>
  </si>
  <si>
    <t>Kintoho</t>
  </si>
  <si>
    <t>Giharo</t>
  </si>
  <si>
    <t>Nyirarukundo Angelique</t>
  </si>
  <si>
    <t>Manure (600kg), NPK (20kg) at planting</t>
  </si>
  <si>
    <t>Nkotsi</t>
  </si>
  <si>
    <t>Rugashi</t>
  </si>
  <si>
    <t>Bigabiro</t>
  </si>
  <si>
    <t>Alex Ndagijimana</t>
  </si>
  <si>
    <t>Manure (100kg)</t>
  </si>
  <si>
    <t>Dithane and Ridomil (thrice)</t>
  </si>
  <si>
    <t>Beatrice Mgendahimana</t>
  </si>
  <si>
    <t>em</t>
  </si>
  <si>
    <t xml:space="preserve">Manure at planting (4200 kg), urea (200kg) at planting and weeding, NPK (400kg) at planting </t>
  </si>
  <si>
    <t>Dithane once a week, ridomil twice</t>
  </si>
  <si>
    <t>Gihirwa</t>
  </si>
  <si>
    <t>Kanombe</t>
  </si>
  <si>
    <t>Uwifashije</t>
  </si>
  <si>
    <t>Munyakarambi</t>
  </si>
  <si>
    <t>Survey/Season</t>
  </si>
  <si>
    <t>District</t>
  </si>
  <si>
    <t>Sector</t>
  </si>
  <si>
    <t>Cell</t>
  </si>
  <si>
    <t>Village</t>
  </si>
  <si>
    <t>Field (weevil)</t>
  </si>
  <si>
    <t>Alternaria occcurs in field (Yes/No)</t>
  </si>
  <si>
    <t>Alternaria incidence</t>
  </si>
  <si>
    <t>SPVD occurs in field (yes/no)</t>
  </si>
  <si>
    <t xml:space="preserve">SPVD severity </t>
  </si>
  <si>
    <t>whitefly ocurs in field (yes/no)</t>
  </si>
  <si>
    <t>Number of whiteflies</t>
  </si>
  <si>
    <t>SPVD ctrl</t>
  </si>
  <si>
    <t>whitefly ctrl</t>
  </si>
  <si>
    <t>SPB occurs in field (yes/no)</t>
  </si>
  <si>
    <t>Number of SPB per plant</t>
  </si>
  <si>
    <t>SPB infestation rate (%)</t>
  </si>
  <si>
    <t>SPB defolition (%)</t>
  </si>
  <si>
    <t>SPB ctrl</t>
  </si>
  <si>
    <t>SPW occurs in field (yes/no)</t>
  </si>
  <si>
    <t>SPW vine infestation rate (%)</t>
  </si>
  <si>
    <t>SPW vine Infestation intensity (%)</t>
  </si>
  <si>
    <t>SPW root infestation rate (%)</t>
  </si>
  <si>
    <t>SPW root Infestation intensity (%)</t>
  </si>
  <si>
    <t>No. of adult C. puncticollis emmerging from collected roots</t>
  </si>
  <si>
    <t>No. of adult C. brunneus emmerging from collected roots</t>
  </si>
  <si>
    <t>Clearwing moth present</t>
  </si>
  <si>
    <t>Mealybug present</t>
  </si>
  <si>
    <t>Aphids infestation rate</t>
  </si>
  <si>
    <t>weevil fields</t>
  </si>
  <si>
    <t>where no vines or roots were infested, it means that adult weevils were observed in the field</t>
  </si>
  <si>
    <t>Sweetpotato</t>
  </si>
  <si>
    <t>Gihanga</t>
  </si>
  <si>
    <t>Ninga</t>
  </si>
  <si>
    <t>Sabimana Jean Marie</t>
  </si>
  <si>
    <t>Mabuye ya Tanzania,  unknown</t>
  </si>
  <si>
    <t>No</t>
  </si>
  <si>
    <t>Nabusengenya</t>
  </si>
  <si>
    <t>Mpanda</t>
  </si>
  <si>
    <t>Ndayishimiye Violetta</t>
  </si>
  <si>
    <t>Pfahohuntaye, Mugande, Mabuye ya Congo</t>
  </si>
  <si>
    <t>chemical insecticide</t>
  </si>
  <si>
    <t>mulch</t>
  </si>
  <si>
    <t>Nyamabale</t>
  </si>
  <si>
    <t>Havyarimana Adolphine</t>
  </si>
  <si>
    <t>Rusenyi</t>
  </si>
  <si>
    <t>Nzeyimana Auda</t>
  </si>
  <si>
    <t>Mubimbi</t>
  </si>
  <si>
    <t>Buhanda</t>
  </si>
  <si>
    <t>Mageyo</t>
  </si>
  <si>
    <t>Sinzoyaheza Susan</t>
  </si>
  <si>
    <t>Mugande</t>
  </si>
  <si>
    <t>Cassava</t>
  </si>
  <si>
    <t>sorting vines at planting</t>
  </si>
  <si>
    <t>Bigirimana Cansilde</t>
  </si>
  <si>
    <t>Mugande, Nzovu</t>
  </si>
  <si>
    <t>missing for weevil</t>
  </si>
  <si>
    <t>Ruhororo</t>
  </si>
  <si>
    <t>Ndagijimana Jovite</t>
  </si>
  <si>
    <t>field 7</t>
  </si>
  <si>
    <t>Muzazi</t>
  </si>
  <si>
    <t>Minani Jerome</t>
  </si>
  <si>
    <t>Mugande, Kirato</t>
  </si>
  <si>
    <t>Mbonarugira</t>
  </si>
  <si>
    <r>
      <t xml:space="preserve">Mugande, </t>
    </r>
    <r>
      <rPr>
        <sz val="11"/>
        <color rgb="FFFF0000"/>
        <rFont val="Calibri"/>
        <family val="2"/>
        <scheme val="minor"/>
      </rPr>
      <t>Inakirato</t>
    </r>
  </si>
  <si>
    <t>Banana</t>
  </si>
  <si>
    <t>field 8</t>
  </si>
  <si>
    <t>Isale</t>
  </si>
  <si>
    <t>Karunga</t>
  </si>
  <si>
    <t>Benga</t>
  </si>
  <si>
    <t>Manirampa Melanie</t>
  </si>
  <si>
    <r>
      <t xml:space="preserve">Mugande, </t>
    </r>
    <r>
      <rPr>
        <sz val="11"/>
        <color rgb="FFFF0000"/>
        <rFont val="Calibri"/>
        <family val="2"/>
        <scheme val="minor"/>
      </rPr>
      <t>Imarubabi</t>
    </r>
  </si>
  <si>
    <t>field 9</t>
  </si>
  <si>
    <t>Misigaro Carine</t>
  </si>
  <si>
    <t>field10</t>
  </si>
  <si>
    <t>Ndiwimana Jimmy</t>
  </si>
  <si>
    <t>Mugande, Imarubabi</t>
  </si>
  <si>
    <t>field11</t>
  </si>
  <si>
    <t>Niyongabo Cedric</t>
  </si>
  <si>
    <t>Mugande, Inzovu</t>
  </si>
  <si>
    <t>field12</t>
  </si>
  <si>
    <t>Rutegama- Maraga</t>
  </si>
  <si>
    <t>Hatungimana Theresa</t>
  </si>
  <si>
    <t>field13</t>
  </si>
  <si>
    <t>Kanyosha</t>
  </si>
  <si>
    <t>Ruyaga</t>
  </si>
  <si>
    <t>Nduwimana Fracine</t>
  </si>
  <si>
    <t>Mugande, unknown</t>
  </si>
  <si>
    <t>field14</t>
  </si>
  <si>
    <t>Masango</t>
  </si>
  <si>
    <t>Bizimana Josephine</t>
  </si>
  <si>
    <t>field15</t>
  </si>
  <si>
    <t>Mwito-Gatare</t>
  </si>
  <si>
    <t>Maniyakiza Edith</t>
  </si>
  <si>
    <t>field16</t>
  </si>
  <si>
    <t>Nsavyimana Paul</t>
  </si>
  <si>
    <t>field17</t>
  </si>
  <si>
    <t>Kinyami</t>
  </si>
  <si>
    <t>Mukishimana Leonie</t>
  </si>
  <si>
    <t>field18</t>
  </si>
  <si>
    <t>Nyabibondo</t>
  </si>
  <si>
    <t>Ndayishimiye/ Nzoyishimira Espirance</t>
  </si>
  <si>
    <r>
      <t xml:space="preserve">Mugande, </t>
    </r>
    <r>
      <rPr>
        <sz val="11"/>
        <color rgb="FFFF0000"/>
        <rFont val="Calibri"/>
        <family val="2"/>
        <scheme val="minor"/>
      </rPr>
      <t>Inconnue</t>
    </r>
  </si>
  <si>
    <t>field21 on 26 Nov with weeviled roots</t>
  </si>
  <si>
    <t>Joseline</t>
  </si>
  <si>
    <t>field20</t>
  </si>
  <si>
    <t>Nterero</t>
  </si>
  <si>
    <t>Ndayisaba Athanase</t>
  </si>
  <si>
    <t>Nzovu, Nabusegenya</t>
  </si>
  <si>
    <t>Nziyimana Consolat</t>
  </si>
  <si>
    <t>Mugamba</t>
  </si>
  <si>
    <t>field21 on 27 Nov</t>
  </si>
  <si>
    <t>Muzi</t>
  </si>
  <si>
    <t>Mandede JP</t>
  </si>
  <si>
    <r>
      <rPr>
        <sz val="11"/>
        <color rgb="FFFF0000"/>
        <rFont val="Calibri"/>
        <family val="2"/>
        <scheme val="minor"/>
      </rPr>
      <t>Inagoteke</t>
    </r>
    <r>
      <rPr>
        <sz val="11"/>
        <color theme="1"/>
        <rFont val="Calibri"/>
        <family val="2"/>
        <scheme val="minor"/>
      </rPr>
      <t>, Kakobwa</t>
    </r>
  </si>
  <si>
    <t>field 22</t>
  </si>
  <si>
    <t>Milia</t>
  </si>
  <si>
    <t>Mugande, Mugamba</t>
  </si>
  <si>
    <t>Bizomimya Daniel</t>
  </si>
  <si>
    <t>Mugande, Kyomozi</t>
  </si>
  <si>
    <t>field23</t>
  </si>
  <si>
    <t>Rurambira</t>
  </si>
  <si>
    <t>Niyonzima Esperance</t>
  </si>
  <si>
    <t>Mugande, Nzovu, unknown</t>
  </si>
  <si>
    <t>Potato, maize, beans</t>
  </si>
  <si>
    <t>field24</t>
  </si>
  <si>
    <t>Nahishakiye consolatta</t>
  </si>
  <si>
    <t>Mugande, Nzovu, Mavuta</t>
  </si>
  <si>
    <t>Peas</t>
  </si>
  <si>
    <t>field25</t>
  </si>
  <si>
    <t>Gahungi menyayababoda</t>
  </si>
  <si>
    <t>Mugande, Nzovu, Iconnue, Menyoyabesoola</t>
  </si>
  <si>
    <t>Taro</t>
  </si>
  <si>
    <t>field26</t>
  </si>
  <si>
    <t>Mutambu</t>
  </si>
  <si>
    <t>Gakara</t>
  </si>
  <si>
    <t>Gomvyu</t>
  </si>
  <si>
    <t>Hakizimana Esperance</t>
  </si>
  <si>
    <t>field27</t>
  </si>
  <si>
    <t>Kizage 1</t>
  </si>
  <si>
    <t>Tharusse Njanja</t>
  </si>
  <si>
    <t>no field</t>
  </si>
  <si>
    <t>Muyira</t>
  </si>
  <si>
    <t>Odette Bucumi</t>
  </si>
  <si>
    <t>field28</t>
  </si>
  <si>
    <t>Kirombwe</t>
  </si>
  <si>
    <t>Denise</t>
  </si>
  <si>
    <t>Mugande, Mugabo wurugo</t>
  </si>
  <si>
    <t>field29</t>
  </si>
  <si>
    <t>Nyakibanda</t>
  </si>
  <si>
    <t>Nyambuye</t>
  </si>
  <si>
    <t>Kayobotse Emannuel</t>
  </si>
  <si>
    <t>field30</t>
  </si>
  <si>
    <t>Rushubi</t>
  </si>
  <si>
    <t>Ndayishimiye Patricia</t>
  </si>
  <si>
    <t>field31</t>
  </si>
  <si>
    <t>Caranka</t>
  </si>
  <si>
    <t>Beatrice</t>
  </si>
  <si>
    <t>no field32</t>
  </si>
  <si>
    <t>Nyarukere</t>
  </si>
  <si>
    <t>Kibuye</t>
  </si>
  <si>
    <t>Bigirimana Jacqueline</t>
  </si>
  <si>
    <t>field33</t>
  </si>
  <si>
    <t>Kavya</t>
  </si>
  <si>
    <t>Nsavyimana Innocent</t>
  </si>
  <si>
    <r>
      <t xml:space="preserve">Butoki, </t>
    </r>
    <r>
      <rPr>
        <sz val="11"/>
        <color rgb="FFFF0000"/>
        <rFont val="Calibri"/>
        <family val="2"/>
        <scheme val="minor"/>
      </rPr>
      <t>Ndimiwanya</t>
    </r>
    <r>
      <rPr>
        <sz val="11"/>
        <color theme="1"/>
        <rFont val="Calibri"/>
        <family val="2"/>
        <scheme val="minor"/>
      </rPr>
      <t xml:space="preserve">, Mugande, </t>
    </r>
    <r>
      <rPr>
        <sz val="11"/>
        <color rgb="FFFF0000"/>
        <rFont val="Calibri"/>
        <family val="2"/>
        <scheme val="minor"/>
      </rPr>
      <t>Ndimino, Nzovu</t>
    </r>
  </si>
  <si>
    <t>field35</t>
  </si>
  <si>
    <t>Kayange</t>
  </si>
  <si>
    <r>
      <rPr>
        <sz val="11"/>
        <color rgb="FFFF0000"/>
        <rFont val="Calibri"/>
        <family val="2"/>
        <scheme val="minor"/>
      </rPr>
      <t>Imabuyesegenya,</t>
    </r>
    <r>
      <rPr>
        <sz val="11"/>
        <rFont val="Calibri"/>
        <family val="2"/>
        <scheme val="minor"/>
      </rPr>
      <t xml:space="preserve"> Mugande</t>
    </r>
  </si>
  <si>
    <t>Taro, Cassava, Palm</t>
  </si>
  <si>
    <t>field36</t>
  </si>
  <si>
    <t>Miheto</t>
  </si>
  <si>
    <t>Nijimbere Yvette</t>
  </si>
  <si>
    <r>
      <rPr>
        <sz val="11"/>
        <color rgb="FFFF0000"/>
        <rFont val="Calibri"/>
        <family val="2"/>
        <scheme val="minor"/>
      </rPr>
      <t>Inconnue,</t>
    </r>
    <r>
      <rPr>
        <sz val="11"/>
        <color theme="1"/>
        <rFont val="Calibri"/>
        <family val="2"/>
        <scheme val="minor"/>
      </rPr>
      <t xml:space="preserve"> Mugande, Nabusegenya</t>
    </r>
  </si>
  <si>
    <t>Taro, banana</t>
  </si>
  <si>
    <t>field37</t>
  </si>
  <si>
    <t>Sindayigaya Claudette</t>
  </si>
  <si>
    <t>field38</t>
  </si>
  <si>
    <t>Claire Nibaruta</t>
  </si>
  <si>
    <t>field39</t>
  </si>
  <si>
    <t>Niyonzima Fediri</t>
  </si>
  <si>
    <t>Wanshozi</t>
  </si>
  <si>
    <t>field34</t>
  </si>
  <si>
    <t>Bujumbura Maine</t>
  </si>
  <si>
    <t>Ntahangwa</t>
  </si>
  <si>
    <t>Bulerere</t>
  </si>
  <si>
    <t>Kiyange</t>
  </si>
  <si>
    <t>Mugande, Pepiris</t>
  </si>
  <si>
    <t>Daniel</t>
  </si>
  <si>
    <t>Pepiris</t>
  </si>
  <si>
    <t>Village 4</t>
  </si>
  <si>
    <t>village 6</t>
  </si>
  <si>
    <t>village 3</t>
  </si>
  <si>
    <t>Nyabenda Prisca</t>
  </si>
  <si>
    <t>Mabuye</t>
  </si>
  <si>
    <t>Nahimana Regina</t>
  </si>
  <si>
    <t>Rukoko</t>
  </si>
  <si>
    <t>Ndayizeye</t>
  </si>
  <si>
    <t>Gakobwa Claudine</t>
  </si>
  <si>
    <t>Cibitoke</t>
  </si>
  <si>
    <t>Buganda</t>
  </si>
  <si>
    <t>Ndava</t>
  </si>
  <si>
    <t>Nyakarama</t>
  </si>
  <si>
    <t>Buramata</t>
  </si>
  <si>
    <t>Venant</t>
  </si>
  <si>
    <t>Nabusegenya</t>
  </si>
  <si>
    <t>Kizina</t>
  </si>
  <si>
    <t>Muganuro</t>
  </si>
  <si>
    <t>Niyongere Chathilde</t>
  </si>
  <si>
    <t>Muzinda</t>
  </si>
  <si>
    <t>Ruyange 2</t>
  </si>
  <si>
    <t>Civuze Jean Bosco</t>
  </si>
  <si>
    <t>Matenderi, Mabuye</t>
  </si>
  <si>
    <t>Bujumbura Rural</t>
  </si>
  <si>
    <t>Kayonsha</t>
  </si>
  <si>
    <t>Kavumu</t>
  </si>
  <si>
    <t>Parish priest</t>
  </si>
  <si>
    <t>muyira</t>
  </si>
  <si>
    <t>Mugande, Ndimurugo</t>
  </si>
  <si>
    <t>Bigoma</t>
  </si>
  <si>
    <t>Lin Baranyibikiye</t>
  </si>
  <si>
    <t>Caranga</t>
  </si>
  <si>
    <t>Murambi</t>
  </si>
  <si>
    <t>Kafekurya</t>
  </si>
  <si>
    <t>Kigezi</t>
  </si>
  <si>
    <t>Birangoya Beschmans</t>
  </si>
  <si>
    <t>Butuhurana</t>
  </si>
  <si>
    <t>Nahimana Clemence</t>
  </si>
  <si>
    <t>Minani Leocadia</t>
  </si>
  <si>
    <t>Mugande, Inconnue</t>
  </si>
  <si>
    <t>Havyarimana Dieudonne</t>
  </si>
  <si>
    <t>Muhororo</t>
  </si>
  <si>
    <t>Bushishi Tharasse</t>
  </si>
  <si>
    <t>Andrea</t>
  </si>
  <si>
    <t>Isaac</t>
  </si>
  <si>
    <t>Kinyange Emmanuel</t>
  </si>
  <si>
    <t>Mubewinzira Lin</t>
  </si>
  <si>
    <t>Kabungere</t>
  </si>
  <si>
    <t>Marcelline</t>
  </si>
  <si>
    <t>Nsabimana Vestine</t>
  </si>
  <si>
    <t>Ndayirosere</t>
  </si>
  <si>
    <t>Mugande, Rugomero</t>
  </si>
  <si>
    <t>Nzovu</t>
  </si>
  <si>
    <t>Setarara Donatien</t>
  </si>
  <si>
    <t>Nsengiyumva Janvier</t>
  </si>
  <si>
    <t>Mutinda Felini</t>
  </si>
  <si>
    <t>Mugande, Kasasare</t>
  </si>
  <si>
    <t>Nkengurate Agapit</t>
  </si>
  <si>
    <t>mayuyu</t>
  </si>
  <si>
    <t>Mineti Anaclet</t>
  </si>
  <si>
    <t>Rurambiro</t>
  </si>
  <si>
    <t>ndikumasabo Alexis</t>
  </si>
  <si>
    <t>ndayishimiye Adelin</t>
  </si>
  <si>
    <t>Mugande, Rusage</t>
  </si>
  <si>
    <t>Kabezi</t>
  </si>
  <si>
    <t>Mubone</t>
  </si>
  <si>
    <t>Nyamuzi</t>
  </si>
  <si>
    <t>Nzeyimana Daphrose</t>
  </si>
  <si>
    <t>Ronke</t>
  </si>
  <si>
    <t>Ntibandika Deo</t>
  </si>
  <si>
    <t>Rugembe</t>
  </si>
  <si>
    <t>Ntahondereye Manasse</t>
  </si>
  <si>
    <t>Lea</t>
  </si>
  <si>
    <t>Gomvyi</t>
  </si>
  <si>
    <t>Rubanda</t>
  </si>
  <si>
    <t>Paroisse Karinzi</t>
  </si>
  <si>
    <t>Murisho Joseph</t>
  </si>
  <si>
    <t>Burima 2</t>
  </si>
  <si>
    <t>Norbert Nyabenda</t>
  </si>
  <si>
    <t>Kayanga</t>
  </si>
  <si>
    <t>Cigenzu Annaclet</t>
  </si>
  <si>
    <t>Mugande, Nabusegenya, six mille</t>
  </si>
  <si>
    <t>Ndayishimiye Jean</t>
  </si>
  <si>
    <t>Miburo Phillipee</t>
  </si>
  <si>
    <t>Nsabimana Esperance</t>
  </si>
  <si>
    <t>Rutake</t>
  </si>
  <si>
    <t>Niyonkuru Theogene</t>
  </si>
  <si>
    <t>Rubenga</t>
  </si>
  <si>
    <t>Nsanzorugeze Pierre</t>
  </si>
  <si>
    <t>Mugande, Rusenya</t>
  </si>
  <si>
    <t>Mpishi</t>
  </si>
  <si>
    <t>Minani Simon</t>
  </si>
  <si>
    <t>Mugande, Inakirato</t>
  </si>
  <si>
    <t xml:space="preserve">Ruyange </t>
  </si>
  <si>
    <t>Minani Anatohe</t>
  </si>
  <si>
    <t>Mugande, Poroje</t>
  </si>
  <si>
    <t>Cirisha</t>
  </si>
  <si>
    <t>Ndikumana Concilia</t>
  </si>
  <si>
    <t>Rutegama</t>
  </si>
  <si>
    <t>Gahimbare Genevieve</t>
  </si>
  <si>
    <t>Mashano Jean</t>
  </si>
  <si>
    <t>Nturo</t>
  </si>
  <si>
    <t>Rubabi</t>
  </si>
  <si>
    <t>Sinamenye Stanislas</t>
  </si>
  <si>
    <t>Wadada, Marebe, Nteka</t>
  </si>
  <si>
    <t>Rugera</t>
  </si>
  <si>
    <t>Nyarutembe</t>
  </si>
  <si>
    <t>Gisenyi</t>
  </si>
  <si>
    <t>Mukamurego Liberatha</t>
  </si>
  <si>
    <t>Niragiteke, Taramariya, Wadada</t>
  </si>
  <si>
    <t>Shyira</t>
  </si>
  <si>
    <t>Mpinga</t>
  </si>
  <si>
    <t>Gacurabwenge</t>
  </si>
  <si>
    <t>Nyirabarobwa Esperence</t>
  </si>
  <si>
    <t>Wadada, Nyiragateke</t>
  </si>
  <si>
    <t>Kintarure</t>
  </si>
  <si>
    <t>Mabare</t>
  </si>
  <si>
    <t>Nyuransengimana Maria</t>
  </si>
  <si>
    <t>Kirimadamu</t>
  </si>
  <si>
    <t>Muhoza</t>
  </si>
  <si>
    <t>Kigombe</t>
  </si>
  <si>
    <t>Kiryi</t>
  </si>
  <si>
    <t>Hakuzwemariya Robert</t>
  </si>
  <si>
    <t>Tura, Maribe</t>
  </si>
  <si>
    <t>Kamabuye</t>
  </si>
  <si>
    <t>Nyirasafari Veneranda</t>
  </si>
  <si>
    <t>Tura</t>
  </si>
  <si>
    <t>Cyabingo</t>
  </si>
  <si>
    <t>Rukoro</t>
  </si>
  <si>
    <t>Murehe</t>
  </si>
  <si>
    <t>Bansebereji Euphras</t>
  </si>
  <si>
    <t>Tura, Wadada</t>
  </si>
  <si>
    <t>Rusasa</t>
  </si>
  <si>
    <t>Kamonyi</t>
  </si>
  <si>
    <t>Nyiramahane Alphose</t>
  </si>
  <si>
    <t>Gatwa</t>
  </si>
  <si>
    <t>Kinoko</t>
  </si>
  <si>
    <t>Munyangongo Damaserus</t>
  </si>
  <si>
    <t>Kabaguma</t>
  </si>
  <si>
    <t>Nyirabwigenege Chantal</t>
  </si>
  <si>
    <t>Murerabana, Wadada</t>
  </si>
  <si>
    <t>Kibumbira</t>
  </si>
  <si>
    <t>Ntezinyayo Anastase</t>
  </si>
  <si>
    <t>Wadada, Tura, Kirimadam</t>
  </si>
  <si>
    <t>Ruhoga</t>
  </si>
  <si>
    <t>Kiraro</t>
  </si>
  <si>
    <t>Nkurikiyimana Juvenal</t>
  </si>
  <si>
    <t>Kamamanzi, Nyiramusenyi</t>
  </si>
  <si>
    <t>Rugengabari</t>
  </si>
  <si>
    <t>Rukandabyuma</t>
  </si>
  <si>
    <t>Nyansyo</t>
  </si>
  <si>
    <t>Habumugisha JMV</t>
  </si>
  <si>
    <t>Mugorora, Kamamanzi</t>
  </si>
  <si>
    <t>Mucaca</t>
  </si>
  <si>
    <t>Burande</t>
  </si>
  <si>
    <t>Mukanganga Clausse</t>
  </si>
  <si>
    <t>Benya, Kamamanzi, Mugorora</t>
  </si>
  <si>
    <t>Kivuruga</t>
  </si>
  <si>
    <t>Sereri</t>
  </si>
  <si>
    <t>Masoro</t>
  </si>
  <si>
    <t>Nyiramagambo</t>
  </si>
  <si>
    <t>Murgorora</t>
  </si>
  <si>
    <t>Gisovu</t>
  </si>
  <si>
    <t>Nyirabahane Venabte</t>
  </si>
  <si>
    <t>Mugumira, Tura</t>
  </si>
  <si>
    <t>Kingari</t>
  </si>
  <si>
    <t>Bugeriki Laurent</t>
  </si>
  <si>
    <t>Tura, Mugumira, Mugorora</t>
  </si>
  <si>
    <t>Habumugusha Filmin</t>
  </si>
  <si>
    <t>Mugolora</t>
  </si>
  <si>
    <t>Rutovu</t>
  </si>
  <si>
    <t>Gitenge</t>
  </si>
  <si>
    <t>Benimana JdAmar</t>
  </si>
  <si>
    <t>Mugorora</t>
  </si>
  <si>
    <t>Mariko</t>
  </si>
  <si>
    <t>Mpozembuza Clementine</t>
  </si>
  <si>
    <t>Kamamanze, Nomero</t>
  </si>
  <si>
    <t>Mugere</t>
  </si>
  <si>
    <t>Anne Marie Mukakinde</t>
  </si>
  <si>
    <t>Kamamanzi, Nyiransana</t>
  </si>
  <si>
    <t>Mukake</t>
  </si>
  <si>
    <t>Mpurirwa Jldefonse</t>
  </si>
  <si>
    <t>Mweru</t>
  </si>
  <si>
    <t>Mukabagagaza Espe</t>
  </si>
  <si>
    <t>Byimana Ferdinard</t>
  </si>
  <si>
    <t>Magabali</t>
  </si>
  <si>
    <t>Rugambanyoni</t>
  </si>
  <si>
    <t>Celestia Surwanone</t>
  </si>
  <si>
    <t>Kanigo</t>
  </si>
  <si>
    <t>Nyirahabimane Leocadie</t>
  </si>
  <si>
    <t>Wadada, Kamamanzi, Mugorora</t>
  </si>
  <si>
    <t>Mukamira</t>
  </si>
  <si>
    <t>Karandage</t>
  </si>
  <si>
    <t>Nyirambazande Erina</t>
  </si>
  <si>
    <t>Nama</t>
  </si>
  <si>
    <t>Mirere Floridi</t>
  </si>
  <si>
    <t>Kinusebeya</t>
  </si>
  <si>
    <t>Ntabanganyimana Jeannate</t>
  </si>
  <si>
    <t>Ryabasenyi</t>
  </si>
  <si>
    <t>Uwanyagasoni Mascaline</t>
  </si>
  <si>
    <t>Nyenyeri</t>
  </si>
  <si>
    <t>Bukonde</t>
  </si>
  <si>
    <t>Urutonze j Mark</t>
  </si>
  <si>
    <t>Hindiro</t>
  </si>
  <si>
    <t>Gatega</t>
  </si>
  <si>
    <t>Cyahafi</t>
  </si>
  <si>
    <t>Urimana Madeleina</t>
  </si>
  <si>
    <t>Gitega</t>
  </si>
  <si>
    <t>Gasayo</t>
  </si>
  <si>
    <t>Dusabemariya Felcitee</t>
  </si>
  <si>
    <t>Ntakazarimana Anatolie</t>
  </si>
  <si>
    <t>Kankuyo M. Jeanne</t>
  </si>
  <si>
    <t>Tura, Kamamanzi</t>
  </si>
  <si>
    <t>Nimba</t>
  </si>
  <si>
    <t>Buranga</t>
  </si>
  <si>
    <t>Burego</t>
  </si>
  <si>
    <t>Ikimanizanye Therese</t>
  </si>
  <si>
    <t>Rusagara</t>
  </si>
  <si>
    <t>Mazinga</t>
  </si>
  <si>
    <t>Bangamwaba Egberance</t>
  </si>
  <si>
    <t>Ngazo</t>
  </si>
  <si>
    <t>Karuganda</t>
  </si>
  <si>
    <t>Mukamurigo Beatrice</t>
  </si>
  <si>
    <t>Mataba</t>
  </si>
  <si>
    <t>Karambi</t>
  </si>
  <si>
    <t>Twizerimana dative</t>
  </si>
  <si>
    <t>Imanizabaya Verstine</t>
  </si>
  <si>
    <t>Rubaro</t>
  </si>
  <si>
    <t>Rupanga</t>
  </si>
  <si>
    <t>Bazamanzi Celestin</t>
  </si>
  <si>
    <t>Musamo</t>
  </si>
  <si>
    <t>Lilian Nyibubalushima</t>
  </si>
  <si>
    <t>Nkururo</t>
  </si>
  <si>
    <t>Nyirabikari Elizabeth</t>
  </si>
  <si>
    <t>Runaba</t>
  </si>
  <si>
    <t>Nyirahajashimana Odille</t>
  </si>
  <si>
    <t>Gatsibo</t>
  </si>
  <si>
    <t>Noheri Anacret</t>
  </si>
  <si>
    <t>Kabona</t>
  </si>
  <si>
    <t>Muharuro</t>
  </si>
  <si>
    <t>Mpunjirihe Immaculate</t>
  </si>
  <si>
    <t>Kamamanzi, Nyiragikata, Mugorora</t>
  </si>
  <si>
    <t>Buribe</t>
  </si>
  <si>
    <t>Ruhinalinka</t>
  </si>
  <si>
    <t>Ntebe</t>
  </si>
  <si>
    <t>Mukabaziga cecelia</t>
  </si>
  <si>
    <t>Tura, Kamamanzi, Mugorora</t>
  </si>
  <si>
    <t>Gisizi</t>
  </si>
  <si>
    <t>Kabagabo</t>
  </si>
  <si>
    <t>Senzima J Nepomuscene</t>
  </si>
  <si>
    <t>Tura, Kamamanzi, Nyinagiteke</t>
  </si>
  <si>
    <t>Karangara</t>
  </si>
  <si>
    <t>Rukiko</t>
  </si>
  <si>
    <t>Nyirambonabuza Catherine</t>
  </si>
  <si>
    <t>Karambo</t>
  </si>
  <si>
    <t>Rosalie</t>
  </si>
  <si>
    <t>Kamanyana</t>
  </si>
  <si>
    <t>Majiambere</t>
  </si>
  <si>
    <t>Nyirantambara Pelagie</t>
  </si>
  <si>
    <t>Kamamanzi,Mugorora, Orange</t>
  </si>
  <si>
    <t>Kabirizi</t>
  </si>
  <si>
    <t>Nyiramahirwe Rostuta</t>
  </si>
  <si>
    <t>Wadada and Wafuruka</t>
  </si>
  <si>
    <t>Nyirabirori Scolastique</t>
  </si>
  <si>
    <t>Wadada and Tura</t>
  </si>
  <si>
    <t>Tuyishire Erina</t>
  </si>
  <si>
    <t>Marebe, Kimbandure</t>
  </si>
  <si>
    <t>Kinini</t>
  </si>
  <si>
    <t>Nyiransabera Eugenie</t>
  </si>
  <si>
    <t>Kabode</t>
  </si>
  <si>
    <t>Nyirababeruka Venasiya</t>
  </si>
  <si>
    <t>Gisozi</t>
  </si>
  <si>
    <t>Mukarebura Evaste</t>
  </si>
  <si>
    <t>Nyiranduhura Jeneroza</t>
  </si>
  <si>
    <t>Mugumira</t>
  </si>
  <si>
    <t>Nyiranzabahimana Arivera</t>
  </si>
  <si>
    <t>Hakizimana Baptiste</t>
  </si>
  <si>
    <t>Musabyimana Thenilla</t>
  </si>
  <si>
    <t>Mugorora, Mukazi</t>
  </si>
  <si>
    <t>Mukamusoni Donata</t>
  </si>
  <si>
    <t>Mukazi, Mugorora</t>
  </si>
  <si>
    <t>Babirye Xaverine</t>
  </si>
  <si>
    <t>Kamamanzi</t>
  </si>
  <si>
    <t>Busumo</t>
  </si>
  <si>
    <t>Byukusenge Perrpetua</t>
  </si>
  <si>
    <t>Mugorrora</t>
  </si>
  <si>
    <t>Murekatete Ange</t>
  </si>
  <si>
    <t>Rwamafuruka</t>
  </si>
  <si>
    <t>Sembagare Leopord</t>
  </si>
  <si>
    <t>Jeannette Mukatuyizere</t>
  </si>
  <si>
    <t>mugorora</t>
  </si>
  <si>
    <t>Niyirera</t>
  </si>
  <si>
    <t>Nyirandarityanye Stephanie</t>
  </si>
  <si>
    <t>Rwamafuruka , Mugorora</t>
  </si>
  <si>
    <t>Kayinamura Telesphore</t>
  </si>
  <si>
    <t>Iyamumpaye Sylverie</t>
  </si>
  <si>
    <t>Nkurikiyimana J.Baptist</t>
  </si>
  <si>
    <t>Bikara</t>
  </si>
  <si>
    <t>Barihuta kizito</t>
  </si>
  <si>
    <t>wadada</t>
  </si>
  <si>
    <t>Muhawenimana Odile</t>
  </si>
  <si>
    <t>Mugunga</t>
  </si>
  <si>
    <t>Rutenderi</t>
  </si>
  <si>
    <t>Uwamaria Juliene</t>
  </si>
  <si>
    <t>murigande</t>
  </si>
  <si>
    <t>Mukamusoni Donatha</t>
  </si>
  <si>
    <t>Turatugure</t>
  </si>
  <si>
    <t>Rurembo</t>
  </si>
  <si>
    <t>Nyirabaziyaka Claudine</t>
  </si>
  <si>
    <t>Bigambo, Murigande</t>
  </si>
  <si>
    <t>Nyiransabimana Theopista</t>
  </si>
  <si>
    <t>Tura, Nyiragiteke</t>
  </si>
  <si>
    <t>Remera</t>
  </si>
  <si>
    <t>Rurambo</t>
  </si>
  <si>
    <t>Ntanyungura matilda</t>
  </si>
  <si>
    <t>Ingabire Francoise</t>
  </si>
  <si>
    <t>Tura, Kwezikumwe</t>
  </si>
  <si>
    <t>Mujawimana Florence</t>
  </si>
  <si>
    <t>Kwezikumwe, Tura</t>
  </si>
  <si>
    <t>Muhawenimana Evelyne</t>
  </si>
  <si>
    <t>Mugorora, Tura</t>
  </si>
  <si>
    <t>Nyiransabimana Godelive</t>
  </si>
  <si>
    <t>Tura, urunyumba</t>
  </si>
  <si>
    <t>Niyitanga Eliminata</t>
  </si>
  <si>
    <t>Kamamanzi, Tura</t>
  </si>
  <si>
    <t>Muzo</t>
  </si>
  <si>
    <t>Uwumubyeyi Valentine</t>
  </si>
  <si>
    <t>Sugarcane</t>
  </si>
  <si>
    <t>Dufitamahoro Epiphrance</t>
  </si>
  <si>
    <t>Murigande, impuhwe</t>
  </si>
  <si>
    <t>Gakindo</t>
  </si>
  <si>
    <t>Banyangiriki Esprance</t>
  </si>
  <si>
    <t>Murigande (Tura), Kamamanzi</t>
  </si>
  <si>
    <t>Umugisha Berirde</t>
  </si>
  <si>
    <t>Murigande</t>
  </si>
  <si>
    <t>Nyiransengimana Leonil</t>
  </si>
  <si>
    <t>Runyinya</t>
  </si>
  <si>
    <t>Anyikamiye Beatrice</t>
  </si>
  <si>
    <t>Rusenya</t>
  </si>
  <si>
    <t>Nyirandikubwimana Anonciatha</t>
  </si>
  <si>
    <t>Nyirakanyoma, Nyirakagitore</t>
  </si>
  <si>
    <t>Uwimana Claudine</t>
  </si>
  <si>
    <t>Nyirakagitore</t>
  </si>
  <si>
    <t>Nyiraburima</t>
  </si>
  <si>
    <t>Nyiramabuye, Mugorora</t>
  </si>
  <si>
    <t>Kantarama Venatie</t>
  </si>
  <si>
    <t>Mutanda</t>
  </si>
  <si>
    <t>Nyirahabimana Beatha</t>
  </si>
  <si>
    <t>Wadada</t>
  </si>
  <si>
    <t>Baragerageza Fracois</t>
  </si>
  <si>
    <t>Uwamahoro olive</t>
  </si>
  <si>
    <t>Byibuhiro</t>
  </si>
  <si>
    <t>Mukaremera Clementine</t>
  </si>
  <si>
    <t>Nyiragiteke</t>
  </si>
  <si>
    <t>Rutabo</t>
  </si>
  <si>
    <t>Uwingabire Alfonsine</t>
  </si>
  <si>
    <t>Rwamambe</t>
  </si>
  <si>
    <t>Ndabakunda Ashile</t>
  </si>
  <si>
    <t>Hategekimana Margaret</t>
  </si>
  <si>
    <t>Mugorola, Nteka (Marisiyana)</t>
  </si>
  <si>
    <t>Mubago</t>
  </si>
  <si>
    <t>Uwimana Mary Chantal</t>
  </si>
  <si>
    <t>Nkiranuye Appolinaire</t>
  </si>
  <si>
    <t>Rep</t>
  </si>
  <si>
    <t>Sample</t>
  </si>
  <si>
    <t>BW</t>
  </si>
  <si>
    <t>PLRV</t>
  </si>
  <si>
    <t>PVX</t>
  </si>
  <si>
    <t>PVA</t>
  </si>
  <si>
    <t>PVY</t>
  </si>
  <si>
    <t>PVM</t>
  </si>
  <si>
    <t>PVS</t>
  </si>
  <si>
    <t>PLRV+PVX</t>
  </si>
  <si>
    <t>PLRV+PVS</t>
  </si>
  <si>
    <t>PVX+PVS</t>
  </si>
  <si>
    <t>PVM+PVS</t>
  </si>
  <si>
    <t>PLRV+PVS+PVX</t>
  </si>
  <si>
    <t>3</t>
  </si>
  <si>
    <t>PLRV+PVS+PVM</t>
  </si>
  <si>
    <t>PLRV+PVM+PVS+PVX </t>
  </si>
  <si>
    <t>4</t>
  </si>
  <si>
    <t>5</t>
  </si>
  <si>
    <t>6</t>
  </si>
  <si>
    <t>7</t>
  </si>
  <si>
    <t>8</t>
  </si>
  <si>
    <t> There should be no quadruple since we are reporting only 3 viruses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</si>
  <si>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</si>
  <si>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</si>
  <si>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</si>
  <si>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</si>
  <si>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</si>
  <si>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</si>
  <si>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</si>
  <si>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</si>
  <si>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</si>
  <si>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</si>
  <si>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</si>
  <si>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</si>
  <si>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</si>
  <si>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</si>
  <si>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</si>
  <si>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</si>
  <si>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</si>
  <si>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</si>
  <si>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</si>
  <si>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</si>
  <si>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</si>
  <si>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</si>
  <si>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</si>
  <si>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</si>
  <si>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</si>
  <si>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</si>
  <si>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</si>
  <si>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</si>
  <si>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</si>
  <si>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</si>
  <si>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</si>
  <si>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</si>
  <si>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</si>
  <si>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</si>
  <si>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</si>
  <si>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</si>
  <si>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</si>
  <si>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</si>
  <si>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</si>
  <si>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</si>
  <si>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</si>
  <si>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</si>
  <si>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</si>
  <si>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</si>
  <si>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</si>
  <si>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</si>
  <si>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</si>
  <si>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</si>
  <si>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</si>
  <si>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</si>
  <si>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</si>
  <si>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</si>
  <si>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</si>
  <si>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Filed</t>
  </si>
  <si>
    <t>LMF pupae1</t>
  </si>
  <si>
    <t>LMF adults</t>
  </si>
  <si>
    <t>LMF parasitoids</t>
  </si>
  <si>
    <t>LMF pupae2</t>
  </si>
  <si>
    <t>Parasitism (%)</t>
  </si>
  <si>
    <t>Dead other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</si>
</sst>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"/>
    <numFmt numFmtId="166" formatCode="_-* #,##0.00_-;\-* #,##0.00_-;_-* &quot;-&quot;_-;_-@_-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2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5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right" wrapText="1"/>
    </xf>
    <xf numFmtId="0" fontId="1" fillId="2" borderId="0" xfId="1" applyFill="1" applyBorder="1" applyAlignment="1">
      <alignment horizontal="right" wrapText="1"/>
    </xf>
    <xf numFmtId="165" fontId="0" fillId="2" borderId="0" xfId="0" applyNumberFormat="1" applyFill="1" applyAlignment="1">
      <alignment horizontal="right"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 wrapText="1"/>
    </xf>
    <xf numFmtId="165" fontId="0" fillId="2" borderId="0" xfId="0" applyNumberFormat="1" applyFill="1" applyAlignment="1">
      <alignment wrapText="1"/>
    </xf>
    <xf numFmtId="165" fontId="1" fillId="2" borderId="0" xfId="1" applyNumberFormat="1" applyFill="1" applyBorder="1" applyAlignment="1">
      <alignment horizontal="right" wrapText="1"/>
    </xf>
    <xf numFmtId="165" fontId="2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right" wrapText="1"/>
    </xf>
    <xf numFmtId="15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wrapText="1"/>
    </xf>
    <xf numFmtId="0" fontId="0" fillId="3" borderId="0" xfId="0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2" fillId="0" borderId="0" xfId="0" applyFont="1"/>
    <xf numFmtId="0" fontId="0" fillId="0" borderId="0" xfId="0" applyFont="1"/>
    <xf numFmtId="49" fontId="2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15" fontId="5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165" fontId="5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right" wrapText="1"/>
    </xf>
    <xf numFmtId="165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6" fillId="2" borderId="0" xfId="1" applyFont="1" applyFill="1" applyBorder="1" applyAlignment="1">
      <alignment horizontal="right" wrapText="1"/>
    </xf>
    <xf numFmtId="165" fontId="6" fillId="2" borderId="0" xfId="1" applyNumberFormat="1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15" fontId="8" fillId="0" borderId="0" xfId="0" applyNumberFormat="1" applyFont="1" applyAlignment="1">
      <alignment wrapText="1"/>
    </xf>
    <xf numFmtId="0" fontId="8" fillId="2" borderId="0" xfId="0" applyFont="1" applyFill="1" applyAlignment="1">
      <alignment horizontal="right" wrapText="1"/>
    </xf>
    <xf numFmtId="0" fontId="9" fillId="2" borderId="0" xfId="1" applyFont="1" applyFill="1" applyBorder="1" applyAlignment="1">
      <alignment horizontal="right" wrapText="1"/>
    </xf>
    <xf numFmtId="165" fontId="8" fillId="2" borderId="0" xfId="0" applyNumberFormat="1" applyFont="1" applyFill="1" applyAlignment="1">
      <alignment horizontal="right" wrapText="1"/>
    </xf>
    <xf numFmtId="165" fontId="9" fillId="2" borderId="0" xfId="1" applyNumberFormat="1" applyFont="1" applyFill="1" applyBorder="1" applyAlignment="1">
      <alignment horizontal="right" wrapText="1"/>
    </xf>
    <xf numFmtId="49" fontId="8" fillId="2" borderId="0" xfId="0" applyNumberFormat="1" applyFont="1" applyFill="1" applyAlignment="1">
      <alignment horizontal="right" wrapText="1"/>
    </xf>
    <xf numFmtId="0" fontId="8" fillId="2" borderId="0" xfId="0" applyFont="1" applyFill="1" applyAlignment="1">
      <alignment wrapText="1"/>
    </xf>
    <xf numFmtId="165" fontId="8" fillId="2" borderId="0" xfId="0" applyNumberFormat="1" applyFont="1" applyFill="1" applyAlignment="1">
      <alignment wrapText="1"/>
    </xf>
    <xf numFmtId="0" fontId="0" fillId="0" borderId="1" xfId="0" applyBorder="1"/>
    <xf numFmtId="0" fontId="0" fillId="0" borderId="1" xfId="0" applyFill="1" applyBorder="1"/>
    <xf numFmtId="0" fontId="2" fillId="4" borderId="0" xfId="0" applyFont="1" applyFill="1" applyAlignment="1">
      <alignment wrapText="1"/>
    </xf>
    <xf numFmtId="0" fontId="8" fillId="4" borderId="0" xfId="0" applyFont="1" applyFill="1" applyAlignment="1">
      <alignment horizontal="right" wrapText="1"/>
    </xf>
    <xf numFmtId="0" fontId="8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right"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/>
    <xf numFmtId="0" fontId="2" fillId="0" borderId="0" xfId="0" applyFont="1" applyAlignment="1">
      <alignment vertical="top" wrapText="1"/>
    </xf>
    <xf numFmtId="0" fontId="0" fillId="0" borderId="0" xfId="0" applyFill="1"/>
    <xf numFmtId="0" fontId="10" fillId="0" borderId="0" xfId="0" applyFont="1" applyFill="1"/>
    <xf numFmtId="0" fontId="10" fillId="3" borderId="0" xfId="0" applyFont="1" applyFill="1"/>
    <xf numFmtId="15" fontId="0" fillId="2" borderId="0" xfId="0" applyNumberFormat="1" applyFill="1"/>
    <xf numFmtId="0" fontId="4" fillId="2" borderId="0" xfId="0" applyFont="1" applyFill="1"/>
    <xf numFmtId="0" fontId="11" fillId="2" borderId="0" xfId="0" applyFont="1" applyFill="1" applyAlignment="1">
      <alignment wrapText="1"/>
    </xf>
    <xf numFmtId="0" fontId="11" fillId="2" borderId="0" xfId="0" applyFont="1" applyFill="1"/>
    <xf numFmtId="165" fontId="2" fillId="4" borderId="0" xfId="0" applyNumberFormat="1" applyFont="1" applyFill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65" fontId="9" fillId="4" borderId="0" xfId="1" applyNumberFormat="1" applyFont="1" applyFill="1" applyBorder="1" applyAlignment="1">
      <alignment horizontal="right" wrapText="1"/>
    </xf>
    <xf numFmtId="0" fontId="0" fillId="5" borderId="1" xfId="0" applyFill="1" applyBorder="1"/>
    <xf numFmtId="165" fontId="6" fillId="4" borderId="0" xfId="1" applyNumberFormat="1" applyFont="1" applyFill="1" applyBorder="1" applyAlignment="1">
      <alignment horizontal="right" wrapText="1"/>
    </xf>
    <xf numFmtId="0" fontId="5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5" fontId="1" fillId="4" borderId="0" xfId="1" applyNumberFormat="1" applyFill="1" applyBorder="1" applyAlignment="1">
      <alignment horizontal="right" wrapText="1"/>
    </xf>
    <xf numFmtId="165" fontId="8" fillId="4" borderId="0" xfId="0" applyNumberFormat="1" applyFont="1" applyFill="1" applyAlignment="1">
      <alignment wrapText="1"/>
    </xf>
    <xf numFmtId="165" fontId="5" fillId="4" borderId="0" xfId="0" applyNumberFormat="1" applyFont="1" applyFill="1" applyAlignment="1">
      <alignment wrapText="1"/>
    </xf>
    <xf numFmtId="0" fontId="5" fillId="0" borderId="0" xfId="0" applyFont="1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5" fontId="0" fillId="4" borderId="0" xfId="0" applyNumberFormat="1" applyFill="1" applyAlignment="1">
      <alignment wrapText="1"/>
    </xf>
    <xf numFmtId="15" fontId="0" fillId="2" borderId="0" xfId="0" applyNumberFormat="1" applyFill="1" applyAlignment="1">
      <alignment wrapText="1"/>
    </xf>
    <xf numFmtId="1" fontId="0" fillId="2" borderId="0" xfId="0" applyNumberFormat="1" applyFill="1" applyAlignment="1">
      <alignment horizontal="right" wrapText="1"/>
    </xf>
    <xf numFmtId="164" fontId="2" fillId="0" borderId="0" xfId="2" applyFont="1" applyAlignment="1">
      <alignment wrapText="1"/>
    </xf>
    <xf numFmtId="164" fontId="0" fillId="0" borderId="0" xfId="2" applyFont="1" applyAlignment="1">
      <alignment wrapText="1"/>
    </xf>
    <xf numFmtId="164" fontId="5" fillId="0" borderId="0" xfId="2" applyFont="1" applyAlignment="1">
      <alignment wrapText="1"/>
    </xf>
    <xf numFmtId="164" fontId="8" fillId="0" borderId="0" xfId="2" applyFont="1" applyAlignment="1">
      <alignment wrapText="1"/>
    </xf>
    <xf numFmtId="164" fontId="0" fillId="0" borderId="0" xfId="2" applyFont="1" applyAlignment="1">
      <alignment horizontal="right" wrapText="1"/>
    </xf>
    <xf numFmtId="166" fontId="2" fillId="2" borderId="0" xfId="2" applyNumberFormat="1" applyFont="1" applyFill="1" applyAlignment="1">
      <alignment wrapText="1"/>
    </xf>
    <xf numFmtId="166" fontId="5" fillId="2" borderId="0" xfId="2" applyNumberFormat="1" applyFont="1" applyFill="1" applyAlignment="1">
      <alignment wrapText="1"/>
    </xf>
    <xf numFmtId="166" fontId="0" fillId="2" borderId="0" xfId="2" applyNumberFormat="1" applyFont="1" applyFill="1" applyAlignment="1">
      <alignment wrapText="1"/>
    </xf>
    <xf numFmtId="166" fontId="8" fillId="2" borderId="0" xfId="2" applyNumberFormat="1" applyFont="1" applyFill="1" applyAlignment="1">
      <alignment wrapText="1"/>
    </xf>
    <xf numFmtId="166" fontId="0" fillId="2" borderId="0" xfId="2" applyNumberFormat="1" applyFont="1" applyFill="1" applyAlignment="1">
      <alignment horizontal="right" wrapText="1"/>
    </xf>
    <xf numFmtId="166" fontId="5" fillId="2" borderId="0" xfId="2" applyNumberFormat="1" applyFont="1" applyFill="1" applyAlignment="1">
      <alignment horizontal="right" wrapText="1"/>
    </xf>
    <xf numFmtId="166" fontId="8" fillId="2" borderId="0" xfId="2" applyNumberFormat="1" applyFont="1" applyFill="1" applyAlignment="1">
      <alignment horizontal="right" wrapText="1"/>
    </xf>
    <xf numFmtId="166" fontId="1" fillId="2" borderId="0" xfId="2" applyNumberFormat="1" applyFont="1" applyFill="1" applyBorder="1" applyAlignment="1">
      <alignment horizontal="right" wrapText="1"/>
    </xf>
    <xf numFmtId="166" fontId="2" fillId="4" borderId="0" xfId="2" applyNumberFormat="1" applyFont="1" applyFill="1" applyAlignment="1">
      <alignment wrapText="1"/>
    </xf>
    <xf numFmtId="166" fontId="1" fillId="4" borderId="0" xfId="2" applyNumberFormat="1" applyFont="1" applyFill="1" applyBorder="1" applyAlignment="1">
      <alignment horizontal="right" wrapText="1"/>
    </xf>
    <xf numFmtId="166" fontId="6" fillId="4" borderId="0" xfId="2" applyNumberFormat="1" applyFont="1" applyFill="1" applyBorder="1" applyAlignment="1">
      <alignment horizontal="right" wrapText="1"/>
    </xf>
    <xf numFmtId="166" fontId="5" fillId="4" borderId="0" xfId="2" applyNumberFormat="1" applyFont="1" applyFill="1" applyAlignment="1">
      <alignment wrapText="1"/>
    </xf>
    <xf numFmtId="166" fontId="0" fillId="4" borderId="0" xfId="2" applyNumberFormat="1" applyFont="1" applyFill="1" applyAlignment="1">
      <alignment wrapText="1"/>
    </xf>
    <xf numFmtId="166" fontId="9" fillId="4" borderId="0" xfId="2" applyNumberFormat="1" applyFont="1" applyFill="1" applyBorder="1" applyAlignment="1">
      <alignment horizontal="right" wrapText="1"/>
    </xf>
    <xf numFmtId="166" fontId="0" fillId="0" borderId="0" xfId="2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2" fillId="5" borderId="1" xfId="0" applyNumberFormat="1" applyFont="1" applyFill="1" applyBorder="1" applyAlignment="1">
      <alignment wrapText="1"/>
    </xf>
    <xf numFmtId="0" fontId="0" fillId="5" borderId="1" xfId="0" applyNumberFormat="1" applyFill="1" applyBorder="1"/>
    <xf numFmtId="0" fontId="8" fillId="5" borderId="1" xfId="0" applyNumberFormat="1" applyFont="1" applyFill="1" applyBorder="1" applyAlignment="1">
      <alignment wrapText="1"/>
    </xf>
    <xf numFmtId="0" fontId="5" fillId="5" borderId="1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5" borderId="0" xfId="0" applyFill="1" applyBorder="1"/>
    <xf numFmtId="0" fontId="5" fillId="0" borderId="1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1" xfId="0" applyNumberFormat="1" applyBorder="1" applyAlignment="1">
      <alignment wrapText="1"/>
    </xf>
    <xf numFmtId="15" fontId="0" fillId="0" borderId="0" xfId="0" applyNumberFormat="1" applyFont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2" borderId="0" xfId="0" applyFont="1" applyFill="1"/>
    <xf numFmtId="0" fontId="0" fillId="0" borderId="0" xfId="0" applyAlignment="1">
      <alignment horizontal="right"/>
    </xf>
    <xf numFmtId="165" fontId="0" fillId="3" borderId="0" xfId="0" applyNumberFormat="1" applyFill="1"/>
    <xf numFmtId="164" fontId="2" fillId="0" borderId="0" xfId="2" applyFont="1" applyAlignment="1">
      <alignment horizontal="right" wrapText="1"/>
    </xf>
    <xf numFmtId="164" fontId="0" fillId="0" borderId="0" xfId="2" applyFont="1" applyAlignment="1">
      <alignment horizontal="right"/>
    </xf>
    <xf numFmtId="164" fontId="0" fillId="2" borderId="0" xfId="2" applyFont="1" applyFill="1" applyAlignment="1">
      <alignment horizontal="right"/>
    </xf>
    <xf numFmtId="164" fontId="0" fillId="2" borderId="0" xfId="2" applyFont="1" applyFill="1" applyAlignment="1">
      <alignment horizontal="right" wrapText="1"/>
    </xf>
    <xf numFmtId="164" fontId="10" fillId="0" borderId="0" xfId="2" applyFont="1" applyAlignment="1">
      <alignment horizontal="right"/>
    </xf>
    <xf numFmtId="164" fontId="0" fillId="3" borderId="0" xfId="2" applyFont="1" applyFill="1" applyAlignment="1">
      <alignment horizontal="right"/>
    </xf>
    <xf numFmtId="165" fontId="4" fillId="0" borderId="0" xfId="0" applyNumberFormat="1" applyFont="1" applyFill="1"/>
    <xf numFmtId="165" fontId="0" fillId="2" borderId="0" xfId="0" applyNumberFormat="1" applyFill="1"/>
  </cellXfs>
  <cellStyles count="3">
    <cellStyle name="Comma [0]" xfId="2" builtinId="6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95"/>
  <sheetViews>
    <sheetView tabSelected="1" workbookViewId="0">
      <pane xSplit="8" ySplit="1" topLeftCell="AO2" activePane="bottomRight" state="frozen"/>
      <selection pane="bottomRight" activeCell="AO1" sqref="AO1"/>
      <selection pane="bottomLeft" activeCell="A2" sqref="A2"/>
      <selection pane="topRight" activeCell="H1" sqref="H1"/>
    </sheetView>
  </sheetViews>
  <sheetFormatPr defaultColWidth="9.140625" defaultRowHeight="14.45"/>
  <cols>
    <col min="1" max="1" width="8.28515625" style="1" customWidth="1"/>
    <col min="2" max="2" width="6.85546875" style="1" bestFit="1" customWidth="1"/>
    <col min="3" max="3" width="7.5703125" style="1" bestFit="1" customWidth="1"/>
    <col min="4" max="4" width="9.42578125" style="1" bestFit="1" customWidth="1"/>
    <col min="5" max="5" width="8.85546875" style="1" bestFit="1" customWidth="1"/>
    <col min="6" max="6" width="12" style="1" customWidth="1"/>
    <col min="7" max="7" width="12.5703125" style="1" customWidth="1"/>
    <col min="8" max="8" width="4.7109375" style="1" bestFit="1" customWidth="1"/>
    <col min="9" max="9" width="9.42578125" style="1" bestFit="1" customWidth="1"/>
    <col min="10" max="10" width="9.85546875" style="1" bestFit="1" customWidth="1"/>
    <col min="11" max="11" width="11.28515625" style="1" bestFit="1" customWidth="1"/>
    <col min="12" max="12" width="7.5703125" style="1" bestFit="1" customWidth="1"/>
    <col min="13" max="13" width="9.85546875" style="1" bestFit="1" customWidth="1"/>
    <col min="14" max="14" width="12.28515625" style="1" customWidth="1"/>
    <col min="15" max="15" width="8.140625" style="88" bestFit="1" customWidth="1"/>
    <col min="16" max="16" width="10.140625" style="1" bestFit="1" customWidth="1"/>
    <col min="17" max="17" width="12.140625" style="1" bestFit="1" customWidth="1"/>
    <col min="18" max="18" width="10.140625" style="1" bestFit="1" customWidth="1"/>
    <col min="19" max="19" width="10.7109375" style="1" bestFit="1" customWidth="1"/>
    <col min="20" max="20" width="12.42578125" style="9" bestFit="1" customWidth="1"/>
    <col min="21" max="21" width="13.85546875" style="9" bestFit="1" customWidth="1"/>
    <col min="22" max="22" width="14" style="94" bestFit="1" customWidth="1"/>
    <col min="23" max="23" width="11.85546875" style="57" bestFit="1" customWidth="1"/>
    <col min="24" max="24" width="11.28515625" style="57" bestFit="1" customWidth="1"/>
    <col min="25" max="25" width="11.7109375" style="104" bestFit="1" customWidth="1"/>
    <col min="26" max="26" width="12.5703125" style="9" bestFit="1" customWidth="1"/>
    <col min="27" max="27" width="11.28515625" style="9" bestFit="1" customWidth="1"/>
    <col min="28" max="28" width="24.140625" style="10" bestFit="1" customWidth="1"/>
    <col min="29" max="29" width="23.140625" style="11" bestFit="1" customWidth="1"/>
    <col min="30" max="30" width="13.140625" style="9" bestFit="1" customWidth="1"/>
    <col min="31" max="31" width="32.140625" style="1" bestFit="1" customWidth="1"/>
    <col min="32" max="32" width="10.140625" style="1" bestFit="1" customWidth="1"/>
    <col min="33" max="33" width="9.85546875" style="1" bestFit="1" customWidth="1"/>
    <col min="34" max="34" width="11.28515625" style="1" bestFit="1" customWidth="1"/>
    <col min="35" max="35" width="23.42578125" style="1" bestFit="1" customWidth="1"/>
    <col min="36" max="36" width="10.140625" style="9" bestFit="1" customWidth="1"/>
    <col min="37" max="37" width="11.85546875" style="9" bestFit="1" customWidth="1"/>
    <col min="38" max="38" width="7.5703125" style="9" bestFit="1" customWidth="1"/>
    <col min="39" max="39" width="9" style="9" bestFit="1" customWidth="1"/>
    <col min="40" max="40" width="8.42578125" style="9" bestFit="1" customWidth="1"/>
    <col min="41" max="41" width="25.28515625" style="1" customWidth="1"/>
    <col min="42" max="42" width="9.140625" style="1"/>
    <col min="43" max="43" width="11" style="1" bestFit="1" customWidth="1"/>
    <col min="44" max="44" width="9.140625" style="1"/>
    <col min="45" max="45" width="9.140625" style="108"/>
    <col min="46" max="47" width="11.28515625" style="1" bestFit="1" customWidth="1"/>
    <col min="48" max="16384" width="9.140625" style="1"/>
  </cols>
  <sheetData>
    <row r="1" spans="1:47" s="4" customFormat="1" ht="57.9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7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92" t="s">
        <v>21</v>
      </c>
      <c r="W1" s="51" t="s">
        <v>22</v>
      </c>
      <c r="X1" s="51" t="s">
        <v>23</v>
      </c>
      <c r="Y1" s="100" t="s">
        <v>24</v>
      </c>
      <c r="Z1" s="5" t="s">
        <v>25</v>
      </c>
      <c r="AA1" s="5" t="s">
        <v>26</v>
      </c>
      <c r="AB1" s="14" t="s">
        <v>27</v>
      </c>
      <c r="AC1" s="13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70" t="s">
        <v>40</v>
      </c>
      <c r="AP1" s="70" t="s">
        <v>41</v>
      </c>
      <c r="AQ1" s="71" t="s">
        <v>42</v>
      </c>
      <c r="AR1" s="71" t="s">
        <v>43</v>
      </c>
      <c r="AS1" s="109" t="s">
        <v>44</v>
      </c>
      <c r="AT1" s="71" t="s">
        <v>45</v>
      </c>
      <c r="AU1" s="72" t="s">
        <v>46</v>
      </c>
    </row>
    <row r="2" spans="1:47" s="40" customFormat="1" ht="29.1">
      <c r="A2" s="39" t="s">
        <v>47</v>
      </c>
      <c r="B2" s="39" t="s">
        <v>48</v>
      </c>
      <c r="C2" s="40" t="s">
        <v>49</v>
      </c>
      <c r="D2" s="40" t="s">
        <v>50</v>
      </c>
      <c r="E2" s="40" t="s">
        <v>51</v>
      </c>
      <c r="F2" s="40" t="s">
        <v>52</v>
      </c>
      <c r="G2" s="40" t="s">
        <v>53</v>
      </c>
      <c r="H2" s="40">
        <v>1</v>
      </c>
      <c r="I2" s="41">
        <v>42562</v>
      </c>
      <c r="J2" s="39">
        <v>-3.4806634999999999</v>
      </c>
      <c r="K2" s="39">
        <v>29.482255899999998</v>
      </c>
      <c r="L2" s="39">
        <v>1847</v>
      </c>
      <c r="M2" s="40">
        <v>0</v>
      </c>
      <c r="N2" s="41" t="s">
        <v>54</v>
      </c>
      <c r="O2" s="40">
        <f>5*40</f>
        <v>200</v>
      </c>
      <c r="P2" s="40">
        <v>2</v>
      </c>
      <c r="Q2" s="40" t="s">
        <v>55</v>
      </c>
      <c r="R2" s="40" t="s">
        <v>56</v>
      </c>
      <c r="S2" s="40" t="s">
        <v>57</v>
      </c>
      <c r="T2" s="42">
        <v>0</v>
      </c>
      <c r="U2" s="43">
        <v>0</v>
      </c>
      <c r="V2" s="44">
        <f>AVERAGE(0)</f>
        <v>0</v>
      </c>
      <c r="W2" s="52">
        <v>1</v>
      </c>
      <c r="X2" s="52">
        <v>50</v>
      </c>
      <c r="Y2" s="73">
        <f>AVERAGE(1,0,1,2,0,1,0,0,1,0)</f>
        <v>0.6</v>
      </c>
      <c r="Z2" s="42">
        <v>1</v>
      </c>
      <c r="AA2" s="45">
        <f>AVERAGE(7,0,4,4,0,1,0,0,0)</f>
        <v>1.7777777777777777</v>
      </c>
      <c r="AB2" s="46">
        <v>0</v>
      </c>
      <c r="AC2" s="44" t="s">
        <v>58</v>
      </c>
      <c r="AD2" s="44">
        <v>0</v>
      </c>
      <c r="AE2" s="40" t="s">
        <v>59</v>
      </c>
      <c r="AF2" s="40" t="s">
        <v>60</v>
      </c>
      <c r="AG2" s="40">
        <v>3</v>
      </c>
      <c r="AH2" s="40" t="s">
        <v>61</v>
      </c>
      <c r="AI2" s="40" t="s">
        <v>61</v>
      </c>
      <c r="AJ2" s="47"/>
      <c r="AK2" s="47">
        <v>0</v>
      </c>
      <c r="AL2" s="47">
        <v>0</v>
      </c>
      <c r="AM2" s="47">
        <v>0</v>
      </c>
      <c r="AN2" s="47">
        <v>0</v>
      </c>
      <c r="AO2" s="114"/>
      <c r="AP2" s="74">
        <v>1</v>
      </c>
      <c r="AQ2" s="74">
        <f>AVERAGE(1,1,3,1,1)</f>
        <v>1.4</v>
      </c>
      <c r="AR2" s="74">
        <v>1</v>
      </c>
      <c r="AS2" s="110">
        <f>AVERAGE(2,3,2,3,3)</f>
        <v>2.6</v>
      </c>
      <c r="AT2" s="114"/>
      <c r="AU2" s="114"/>
    </row>
    <row r="3" spans="1:47" s="40" customFormat="1" ht="29.1">
      <c r="A3" s="39" t="s">
        <v>47</v>
      </c>
      <c r="B3" s="39" t="s">
        <v>48</v>
      </c>
      <c r="C3" s="40" t="s">
        <v>49</v>
      </c>
      <c r="D3" s="40" t="s">
        <v>50</v>
      </c>
      <c r="E3" s="40" t="s">
        <v>51</v>
      </c>
      <c r="F3" s="40" t="s">
        <v>52</v>
      </c>
      <c r="G3" s="40" t="s">
        <v>52</v>
      </c>
      <c r="H3" s="40">
        <v>2</v>
      </c>
      <c r="I3" s="41">
        <v>42562</v>
      </c>
      <c r="J3" s="39">
        <v>-3.4876361</v>
      </c>
      <c r="K3" s="39">
        <v>29.485008199999999</v>
      </c>
      <c r="L3" s="39">
        <v>1867</v>
      </c>
      <c r="M3" s="40">
        <v>0</v>
      </c>
      <c r="N3" s="41" t="s">
        <v>62</v>
      </c>
      <c r="O3" s="40">
        <f>33*10</f>
        <v>330</v>
      </c>
      <c r="P3" s="40">
        <v>2.5</v>
      </c>
      <c r="Q3" s="40" t="s">
        <v>63</v>
      </c>
      <c r="R3" s="40" t="s">
        <v>56</v>
      </c>
      <c r="S3" s="40" t="s">
        <v>57</v>
      </c>
      <c r="T3" s="42">
        <v>0</v>
      </c>
      <c r="U3" s="43">
        <v>0</v>
      </c>
      <c r="V3" s="44">
        <f>AVERAGE(0)</f>
        <v>0</v>
      </c>
      <c r="W3" s="52">
        <v>1</v>
      </c>
      <c r="X3" s="52">
        <f>3/10*100</f>
        <v>30</v>
      </c>
      <c r="Y3" s="73">
        <f>AVERAGE(1,5,0,0,0,0,0,0,2,0,0,0)</f>
        <v>0.66666666666666663</v>
      </c>
      <c r="Z3" s="42">
        <v>1</v>
      </c>
      <c r="AA3" s="45">
        <f>AVERAGE(0,0,0,0,0,0,0,0,3,1)</f>
        <v>0.4</v>
      </c>
      <c r="AB3" s="46" t="s">
        <v>58</v>
      </c>
      <c r="AC3" s="44">
        <v>0</v>
      </c>
      <c r="AD3" s="44">
        <v>0</v>
      </c>
      <c r="AE3" s="40" t="s">
        <v>59</v>
      </c>
      <c r="AF3" s="40" t="s">
        <v>60</v>
      </c>
      <c r="AG3" s="40">
        <v>1</v>
      </c>
      <c r="AH3" s="40" t="s">
        <v>64</v>
      </c>
      <c r="AI3" s="40" t="s">
        <v>65</v>
      </c>
      <c r="AJ3" s="44"/>
      <c r="AK3" s="47"/>
      <c r="AL3" s="47"/>
      <c r="AM3" s="47"/>
      <c r="AN3" s="47"/>
      <c r="AO3" s="114"/>
      <c r="AP3" s="74">
        <v>1</v>
      </c>
      <c r="AQ3" s="74">
        <f>AVERAGE(1,3,6,5,6)</f>
        <v>4.2</v>
      </c>
      <c r="AR3" s="74">
        <v>1</v>
      </c>
      <c r="AS3" s="110">
        <f>AVERAGE(3,4,4,4,3)</f>
        <v>3.6</v>
      </c>
      <c r="AT3" s="114"/>
      <c r="AU3" s="114"/>
    </row>
    <row r="4" spans="1:47" s="40" customFormat="1" ht="29.1">
      <c r="A4" s="39" t="s">
        <v>47</v>
      </c>
      <c r="B4" s="39" t="s">
        <v>48</v>
      </c>
      <c r="C4" s="40" t="s">
        <v>49</v>
      </c>
      <c r="D4" s="40" t="s">
        <v>50</v>
      </c>
      <c r="E4" s="29" t="s">
        <v>51</v>
      </c>
      <c r="F4" s="29" t="s">
        <v>52</v>
      </c>
      <c r="G4" s="29" t="s">
        <v>66</v>
      </c>
      <c r="H4" s="29">
        <v>5</v>
      </c>
      <c r="I4" s="30">
        <v>42563</v>
      </c>
      <c r="J4" s="28">
        <v>-3.4899173000000001</v>
      </c>
      <c r="K4" s="28">
        <v>29.5005989</v>
      </c>
      <c r="L4" s="28">
        <v>1942</v>
      </c>
      <c r="M4" s="29">
        <v>0</v>
      </c>
      <c r="N4" s="30" t="s">
        <v>67</v>
      </c>
      <c r="O4" s="29">
        <f>5*10</f>
        <v>50</v>
      </c>
      <c r="P4" s="29">
        <v>2</v>
      </c>
      <c r="Q4" s="29" t="s">
        <v>55</v>
      </c>
      <c r="R4" s="29" t="s">
        <v>56</v>
      </c>
      <c r="S4" s="29" t="s">
        <v>68</v>
      </c>
      <c r="T4" s="35">
        <v>0</v>
      </c>
      <c r="U4" s="36">
        <v>0</v>
      </c>
      <c r="V4" s="44">
        <f>AVERAGE(0)</f>
        <v>0</v>
      </c>
      <c r="W4" s="55">
        <v>1</v>
      </c>
      <c r="X4" s="55">
        <v>90</v>
      </c>
      <c r="Y4" s="75">
        <f>AVERAGE(0,14,30,16,13,3,4,60,49)</f>
        <v>21</v>
      </c>
      <c r="Z4" s="35">
        <v>1</v>
      </c>
      <c r="AA4" s="37">
        <f>AVERAGE(3,1,0,0,0,0,0,0,0,0)</f>
        <v>0.4</v>
      </c>
      <c r="AB4" s="33" t="s">
        <v>58</v>
      </c>
      <c r="AC4" s="34">
        <v>0</v>
      </c>
      <c r="AD4" s="34">
        <v>0</v>
      </c>
      <c r="AE4" s="29" t="s">
        <v>59</v>
      </c>
      <c r="AF4" s="29" t="s">
        <v>69</v>
      </c>
      <c r="AG4" s="29">
        <v>1</v>
      </c>
      <c r="AH4" s="29" t="s">
        <v>61</v>
      </c>
      <c r="AI4" s="29" t="s">
        <v>61</v>
      </c>
      <c r="AJ4" s="34"/>
      <c r="AK4" s="31"/>
      <c r="AL4" s="31"/>
      <c r="AM4" s="31"/>
      <c r="AN4" s="31"/>
      <c r="AO4" s="118"/>
      <c r="AP4" s="77">
        <v>1</v>
      </c>
      <c r="AQ4" s="77">
        <v>6</v>
      </c>
      <c r="AR4" s="77">
        <v>1</v>
      </c>
      <c r="AS4" s="111">
        <f>AVERAGE(3,3,3,2,2)</f>
        <v>2.6</v>
      </c>
      <c r="AT4" s="116"/>
      <c r="AU4" s="116"/>
    </row>
    <row r="5" spans="1:47" s="40" customFormat="1" ht="29.1">
      <c r="A5" s="39" t="s">
        <v>47</v>
      </c>
      <c r="B5" s="39" t="s">
        <v>48</v>
      </c>
      <c r="C5" s="40" t="s">
        <v>49</v>
      </c>
      <c r="D5" s="40" t="s">
        <v>50</v>
      </c>
      <c r="E5" s="40" t="s">
        <v>70</v>
      </c>
      <c r="F5" s="40" t="s">
        <v>71</v>
      </c>
      <c r="G5" s="40" t="s">
        <v>72</v>
      </c>
      <c r="H5" s="40">
        <v>19</v>
      </c>
      <c r="I5" s="3">
        <v>42565</v>
      </c>
      <c r="J5" s="39">
        <v>-3.3589432000000001</v>
      </c>
      <c r="K5" s="39">
        <v>29.537908600000002</v>
      </c>
      <c r="L5" s="39">
        <v>2068</v>
      </c>
      <c r="M5" s="40" t="s">
        <v>64</v>
      </c>
      <c r="N5" s="40" t="s">
        <v>64</v>
      </c>
      <c r="O5" s="40">
        <f>35*12</f>
        <v>420</v>
      </c>
      <c r="P5" s="40">
        <v>2</v>
      </c>
      <c r="Q5" s="40" t="s">
        <v>55</v>
      </c>
      <c r="R5" s="40" t="s">
        <v>56</v>
      </c>
      <c r="S5" s="29" t="s">
        <v>57</v>
      </c>
      <c r="T5" s="42">
        <v>0</v>
      </c>
      <c r="U5" s="43">
        <v>0</v>
      </c>
      <c r="V5" s="44">
        <v>0</v>
      </c>
      <c r="W5" s="52">
        <v>1</v>
      </c>
      <c r="X5" s="52">
        <v>20</v>
      </c>
      <c r="Y5" s="73">
        <f>AVERAGE(1,4,0,0,0,0,0,0,0,0)</f>
        <v>0.5</v>
      </c>
      <c r="Z5" s="42">
        <v>1</v>
      </c>
      <c r="AA5" s="45">
        <f>AVERAGE(1,0,0,0,0,0,0,0,0,0)</f>
        <v>0.1</v>
      </c>
      <c r="AB5" s="46" t="s">
        <v>58</v>
      </c>
      <c r="AC5" s="44">
        <v>0</v>
      </c>
      <c r="AD5" s="42">
        <v>0</v>
      </c>
      <c r="AE5" s="40" t="s">
        <v>64</v>
      </c>
      <c r="AF5" s="40" t="s">
        <v>73</v>
      </c>
      <c r="AG5" s="40">
        <v>1</v>
      </c>
      <c r="AH5" s="40" t="s">
        <v>64</v>
      </c>
      <c r="AI5" s="40" t="s">
        <v>64</v>
      </c>
      <c r="AJ5" s="42"/>
      <c r="AK5" s="47"/>
      <c r="AL5" s="47"/>
      <c r="AM5" s="47"/>
      <c r="AN5" s="47"/>
      <c r="AO5" s="116"/>
      <c r="AP5" s="76">
        <v>1</v>
      </c>
      <c r="AQ5" s="76">
        <f>AVERAGE(7,7,6,1,6)</f>
        <v>5.4</v>
      </c>
      <c r="AR5" s="76">
        <v>1</v>
      </c>
      <c r="AS5" s="112">
        <f>AVERAGE(2,2,2,4,4)</f>
        <v>2.8</v>
      </c>
      <c r="AT5" s="118"/>
      <c r="AU5" s="118"/>
    </row>
    <row r="6" spans="1:47" s="40" customFormat="1" ht="29.1">
      <c r="A6" s="39" t="s">
        <v>47</v>
      </c>
      <c r="B6" s="39" t="s">
        <v>48</v>
      </c>
      <c r="C6" s="40" t="s">
        <v>49</v>
      </c>
      <c r="D6" s="40" t="s">
        <v>50</v>
      </c>
      <c r="E6" s="40" t="s">
        <v>70</v>
      </c>
      <c r="H6" s="40">
        <v>20</v>
      </c>
      <c r="I6" s="3">
        <v>42565</v>
      </c>
      <c r="J6" s="39">
        <v>-3.3441458000000002</v>
      </c>
      <c r="K6" s="39">
        <v>29.547355700000001</v>
      </c>
      <c r="L6" s="39">
        <v>2119</v>
      </c>
      <c r="M6" s="40" t="s">
        <v>64</v>
      </c>
      <c r="N6" s="40" t="s">
        <v>64</v>
      </c>
      <c r="O6" s="40">
        <f>40*5</f>
        <v>200</v>
      </c>
      <c r="P6" s="40">
        <v>2</v>
      </c>
      <c r="Q6" s="40" t="s">
        <v>55</v>
      </c>
      <c r="R6" s="40" t="s">
        <v>56</v>
      </c>
      <c r="S6" s="40" t="s">
        <v>57</v>
      </c>
      <c r="T6" s="42">
        <v>0</v>
      </c>
      <c r="U6" s="43">
        <v>0</v>
      </c>
      <c r="V6" s="44">
        <v>0</v>
      </c>
      <c r="W6" s="52">
        <v>0</v>
      </c>
      <c r="X6" s="52">
        <v>0</v>
      </c>
      <c r="Y6" s="73">
        <v>0</v>
      </c>
      <c r="Z6" s="42">
        <v>0</v>
      </c>
      <c r="AA6" s="45">
        <v>0</v>
      </c>
      <c r="AB6" s="46" t="s">
        <v>58</v>
      </c>
      <c r="AC6" s="44">
        <v>0</v>
      </c>
      <c r="AD6" s="42">
        <v>0</v>
      </c>
      <c r="AE6" s="40" t="s">
        <v>64</v>
      </c>
      <c r="AF6" s="40" t="s">
        <v>73</v>
      </c>
      <c r="AG6" s="40">
        <v>3</v>
      </c>
      <c r="AH6" s="40" t="s">
        <v>64</v>
      </c>
      <c r="AI6" s="40" t="s">
        <v>64</v>
      </c>
      <c r="AJ6" s="42"/>
      <c r="AK6" s="47"/>
      <c r="AL6" s="47"/>
      <c r="AM6" s="47"/>
      <c r="AN6" s="47"/>
      <c r="AO6" s="116"/>
      <c r="AP6" s="76">
        <v>0</v>
      </c>
      <c r="AQ6" s="76">
        <v>0</v>
      </c>
      <c r="AR6" s="76">
        <v>1</v>
      </c>
      <c r="AS6" s="112">
        <f>AVERAGE(3)</f>
        <v>3</v>
      </c>
      <c r="AT6" s="118"/>
      <c r="AU6" s="118"/>
    </row>
    <row r="7" spans="1:47" s="40" customFormat="1" ht="29.1">
      <c r="A7" s="39" t="s">
        <v>47</v>
      </c>
      <c r="B7" s="39" t="s">
        <v>48</v>
      </c>
      <c r="C7" s="40" t="s">
        <v>49</v>
      </c>
      <c r="D7" s="40" t="s">
        <v>50</v>
      </c>
      <c r="E7" s="40" t="s">
        <v>70</v>
      </c>
      <c r="F7" s="40" t="s">
        <v>74</v>
      </c>
      <c r="G7" s="40" t="s">
        <v>64</v>
      </c>
      <c r="H7" s="40">
        <v>30</v>
      </c>
      <c r="I7" s="3">
        <v>42566</v>
      </c>
      <c r="J7" s="82">
        <v>-3.4727000000000001</v>
      </c>
      <c r="K7" s="82">
        <v>29.515499999999999</v>
      </c>
      <c r="L7" s="82">
        <v>2131</v>
      </c>
      <c r="M7" s="29" t="s">
        <v>64</v>
      </c>
      <c r="N7" s="29" t="s">
        <v>75</v>
      </c>
      <c r="O7" s="29">
        <f>10*34</f>
        <v>340</v>
      </c>
      <c r="P7" s="29">
        <v>1.5</v>
      </c>
      <c r="Q7" s="29" t="s">
        <v>55</v>
      </c>
      <c r="R7" s="40" t="s">
        <v>56</v>
      </c>
      <c r="S7" s="40" t="s">
        <v>57</v>
      </c>
      <c r="T7" s="31">
        <v>0</v>
      </c>
      <c r="U7" s="31">
        <v>0</v>
      </c>
      <c r="V7" s="32">
        <v>0</v>
      </c>
      <c r="W7" s="54">
        <v>1</v>
      </c>
      <c r="X7" s="54">
        <v>60</v>
      </c>
      <c r="Y7" s="80">
        <f>AVERAGE(9,5,3,2,0,8,0,0,6,0)</f>
        <v>3.3</v>
      </c>
      <c r="Z7" s="31">
        <v>0</v>
      </c>
      <c r="AA7" s="32">
        <v>0</v>
      </c>
      <c r="AB7" s="33" t="s">
        <v>58</v>
      </c>
      <c r="AC7" s="32">
        <v>0</v>
      </c>
      <c r="AD7" s="31">
        <v>0</v>
      </c>
      <c r="AE7" s="29" t="s">
        <v>76</v>
      </c>
      <c r="AF7" s="29" t="s">
        <v>77</v>
      </c>
      <c r="AG7" s="29">
        <v>0</v>
      </c>
      <c r="AH7" s="29" t="s">
        <v>64</v>
      </c>
      <c r="AI7" s="29" t="s">
        <v>64</v>
      </c>
      <c r="AJ7" s="34"/>
      <c r="AK7" s="34"/>
      <c r="AL7" s="34"/>
      <c r="AM7" s="34"/>
      <c r="AN7" s="34"/>
      <c r="AO7" s="118"/>
      <c r="AP7" s="76">
        <v>1</v>
      </c>
      <c r="AQ7" s="76">
        <f>AVERAGE(5,5,5,5,1)</f>
        <v>4.2</v>
      </c>
      <c r="AR7" s="76">
        <v>1</v>
      </c>
      <c r="AS7" s="112">
        <f>AVERAGE(7,7,7,5)</f>
        <v>6.5</v>
      </c>
      <c r="AT7" s="118"/>
      <c r="AU7" s="118"/>
    </row>
    <row r="8" spans="1:47" s="40" customFormat="1" ht="29.1">
      <c r="A8" s="39" t="s">
        <v>47</v>
      </c>
      <c r="B8" s="39" t="s">
        <v>48</v>
      </c>
      <c r="C8" s="40" t="s">
        <v>49</v>
      </c>
      <c r="D8" s="40" t="s">
        <v>78</v>
      </c>
      <c r="E8" s="40" t="s">
        <v>78</v>
      </c>
      <c r="F8" s="40" t="s">
        <v>79</v>
      </c>
      <c r="G8" s="40" t="s">
        <v>80</v>
      </c>
      <c r="H8" s="40">
        <v>21</v>
      </c>
      <c r="I8" s="3">
        <v>42565</v>
      </c>
      <c r="J8" s="39">
        <v>-3.3432620000000002</v>
      </c>
      <c r="K8" s="39">
        <v>29.549928699999999</v>
      </c>
      <c r="L8" s="39">
        <v>2138</v>
      </c>
      <c r="M8" s="40" t="s">
        <v>64</v>
      </c>
      <c r="N8" s="40" t="s">
        <v>81</v>
      </c>
      <c r="O8" s="40">
        <f>60*5</f>
        <v>300</v>
      </c>
      <c r="P8" s="40">
        <v>2.5</v>
      </c>
      <c r="Q8" s="40" t="s">
        <v>82</v>
      </c>
      <c r="R8" s="40" t="s">
        <v>56</v>
      </c>
      <c r="S8" s="40" t="s">
        <v>57</v>
      </c>
      <c r="T8" s="42">
        <v>0</v>
      </c>
      <c r="U8" s="43">
        <v>0</v>
      </c>
      <c r="V8" s="44">
        <v>0</v>
      </c>
      <c r="W8" s="52">
        <v>1</v>
      </c>
      <c r="X8" s="52">
        <v>40</v>
      </c>
      <c r="Y8" s="73">
        <f>AVERAGE(3,4,16,2,0,0,0,0,0,0)</f>
        <v>2.5</v>
      </c>
      <c r="Z8" s="42">
        <v>0</v>
      </c>
      <c r="AA8" s="45">
        <v>0</v>
      </c>
      <c r="AB8" s="46" t="s">
        <v>58</v>
      </c>
      <c r="AC8" s="44">
        <v>0</v>
      </c>
      <c r="AD8" s="42">
        <v>0</v>
      </c>
      <c r="AE8" s="40" t="s">
        <v>76</v>
      </c>
      <c r="AF8" s="40" t="s">
        <v>73</v>
      </c>
      <c r="AG8" s="40">
        <v>2</v>
      </c>
      <c r="AH8" s="40" t="s">
        <v>61</v>
      </c>
      <c r="AI8" s="40" t="s">
        <v>61</v>
      </c>
      <c r="AJ8" s="44"/>
      <c r="AK8" s="44"/>
      <c r="AL8" s="44"/>
      <c r="AM8" s="44"/>
      <c r="AN8" s="44"/>
      <c r="AO8" s="116"/>
      <c r="AP8" s="76">
        <v>0</v>
      </c>
      <c r="AQ8" s="76">
        <v>0</v>
      </c>
      <c r="AR8" s="76">
        <v>1</v>
      </c>
      <c r="AS8" s="112">
        <f>AVERAGE(4,3,4,2,3)</f>
        <v>3.2</v>
      </c>
      <c r="AT8" s="118"/>
      <c r="AU8" s="118"/>
    </row>
    <row r="9" spans="1:47" s="40" customFormat="1" ht="29.1">
      <c r="A9" s="39" t="s">
        <v>47</v>
      </c>
      <c r="B9" s="39" t="s">
        <v>48</v>
      </c>
      <c r="C9" s="40" t="s">
        <v>49</v>
      </c>
      <c r="D9" s="40" t="s">
        <v>78</v>
      </c>
      <c r="E9" s="40" t="s">
        <v>78</v>
      </c>
      <c r="F9" s="40" t="s">
        <v>79</v>
      </c>
      <c r="G9" s="40" t="s">
        <v>64</v>
      </c>
      <c r="H9" s="40">
        <v>23</v>
      </c>
      <c r="I9" s="3">
        <v>42565</v>
      </c>
      <c r="J9" s="28">
        <v>-3.3257883000000001</v>
      </c>
      <c r="K9" s="28">
        <v>29.547407199999999</v>
      </c>
      <c r="L9" s="28">
        <v>2147</v>
      </c>
      <c r="M9" s="29" t="s">
        <v>64</v>
      </c>
      <c r="N9" s="29" t="s">
        <v>64</v>
      </c>
      <c r="O9" s="29">
        <f>40*10</f>
        <v>400</v>
      </c>
      <c r="P9" s="29">
        <v>3.5</v>
      </c>
      <c r="Q9" s="29" t="s">
        <v>83</v>
      </c>
      <c r="R9" s="40" t="s">
        <v>56</v>
      </c>
      <c r="S9" s="40" t="s">
        <v>57</v>
      </c>
      <c r="T9" s="31">
        <v>0</v>
      </c>
      <c r="U9" s="31">
        <v>0</v>
      </c>
      <c r="V9" s="32">
        <v>0</v>
      </c>
      <c r="W9" s="54">
        <v>1</v>
      </c>
      <c r="X9" s="54">
        <v>60</v>
      </c>
      <c r="Y9" s="80">
        <f>AVERAGE(3,3,2,1,2,1,0,0,0,0)</f>
        <v>1.2</v>
      </c>
      <c r="Z9" s="31">
        <v>0</v>
      </c>
      <c r="AA9" s="32">
        <v>0</v>
      </c>
      <c r="AB9" s="33" t="s">
        <v>84</v>
      </c>
      <c r="AC9" s="32">
        <v>10</v>
      </c>
      <c r="AD9" s="31">
        <v>0.2</v>
      </c>
      <c r="AE9" s="29" t="s">
        <v>64</v>
      </c>
      <c r="AF9" s="29" t="s">
        <v>85</v>
      </c>
      <c r="AG9" s="29">
        <v>1</v>
      </c>
      <c r="AH9" s="29" t="s">
        <v>64</v>
      </c>
      <c r="AI9" s="29" t="s">
        <v>64</v>
      </c>
      <c r="AJ9" s="31"/>
      <c r="AK9" s="31"/>
      <c r="AL9" s="31"/>
      <c r="AM9" s="31"/>
      <c r="AN9" s="31"/>
      <c r="AO9" s="118"/>
      <c r="AP9" s="76">
        <v>1</v>
      </c>
      <c r="AQ9" s="76">
        <v>5</v>
      </c>
      <c r="AR9" s="76">
        <v>1</v>
      </c>
      <c r="AS9" s="112">
        <f>AVERAGE(5,5,3,4,4)</f>
        <v>4.2</v>
      </c>
      <c r="AT9" s="118"/>
      <c r="AU9" s="118"/>
    </row>
    <row r="10" spans="1:47" s="40" customFormat="1" ht="29.1">
      <c r="A10" s="39" t="s">
        <v>47</v>
      </c>
      <c r="B10" s="39" t="s">
        <v>48</v>
      </c>
      <c r="C10" s="40" t="s">
        <v>49</v>
      </c>
      <c r="D10" s="40" t="s">
        <v>78</v>
      </c>
      <c r="E10" s="40" t="s">
        <v>78</v>
      </c>
      <c r="F10" s="40" t="s">
        <v>79</v>
      </c>
      <c r="G10" s="40" t="s">
        <v>79</v>
      </c>
      <c r="H10" s="40">
        <v>24</v>
      </c>
      <c r="I10" s="3">
        <v>42565</v>
      </c>
      <c r="J10" s="39">
        <v>-3.2800395</v>
      </c>
      <c r="K10" s="39">
        <v>29.550994899999999</v>
      </c>
      <c r="L10" s="39">
        <v>2193</v>
      </c>
      <c r="M10" s="40" t="s">
        <v>64</v>
      </c>
      <c r="N10" s="40" t="s">
        <v>86</v>
      </c>
      <c r="O10" s="40">
        <f>40*25</f>
        <v>1000</v>
      </c>
      <c r="P10" s="40">
        <v>2.5</v>
      </c>
      <c r="Q10" s="40" t="s">
        <v>83</v>
      </c>
      <c r="R10" s="40" t="s">
        <v>56</v>
      </c>
      <c r="S10" s="40" t="s">
        <v>57</v>
      </c>
      <c r="T10" s="47">
        <v>0</v>
      </c>
      <c r="U10" s="47">
        <v>0</v>
      </c>
      <c r="V10" s="48">
        <v>0</v>
      </c>
      <c r="W10" s="53">
        <v>1</v>
      </c>
      <c r="X10" s="53">
        <v>70</v>
      </c>
      <c r="Y10" s="79">
        <f>AVERAGE(7,36,8,0,0,0,56,3,40,19)</f>
        <v>16.899999999999999</v>
      </c>
      <c r="Z10" s="47">
        <v>1</v>
      </c>
      <c r="AA10" s="48">
        <f>AVERAGE(1,0,0,0,0,0,0,0,0,0)</f>
        <v>0.1</v>
      </c>
      <c r="AB10" s="46" t="s">
        <v>58</v>
      </c>
      <c r="AC10" s="48">
        <v>0</v>
      </c>
      <c r="AD10" s="47">
        <v>0</v>
      </c>
      <c r="AE10" s="40" t="s">
        <v>64</v>
      </c>
      <c r="AF10" s="29" t="s">
        <v>85</v>
      </c>
      <c r="AG10" s="40">
        <v>0</v>
      </c>
      <c r="AH10" s="40" t="s">
        <v>64</v>
      </c>
      <c r="AI10" s="40" t="s">
        <v>64</v>
      </c>
      <c r="AJ10" s="47"/>
      <c r="AK10" s="47"/>
      <c r="AL10" s="47"/>
      <c r="AM10" s="47"/>
      <c r="AN10" s="47"/>
      <c r="AO10" s="116"/>
      <c r="AP10" s="76">
        <v>1</v>
      </c>
      <c r="AQ10" s="76">
        <f>AVERAGE(5,5,6,5,7)</f>
        <v>5.6</v>
      </c>
      <c r="AR10" s="76">
        <v>1</v>
      </c>
      <c r="AS10" s="112">
        <f>AVERAGE(3,3,6,5,4)</f>
        <v>4.2</v>
      </c>
      <c r="AT10" s="118"/>
      <c r="AU10" s="118"/>
    </row>
    <row r="11" spans="1:47" s="40" customFormat="1" ht="29.1">
      <c r="A11" s="39" t="s">
        <v>47</v>
      </c>
      <c r="B11" s="39" t="s">
        <v>48</v>
      </c>
      <c r="C11" s="40" t="s">
        <v>49</v>
      </c>
      <c r="D11" s="40" t="s">
        <v>50</v>
      </c>
      <c r="E11" s="29" t="s">
        <v>70</v>
      </c>
      <c r="F11" s="29" t="s">
        <v>74</v>
      </c>
      <c r="G11" s="29" t="s">
        <v>74</v>
      </c>
      <c r="H11" s="29">
        <v>3</v>
      </c>
      <c r="I11" s="41">
        <v>42562</v>
      </c>
      <c r="J11" s="39">
        <v>-3.4810588899999999</v>
      </c>
      <c r="K11" s="39">
        <v>29.5631065</v>
      </c>
      <c r="L11" s="28">
        <v>2195</v>
      </c>
      <c r="M11" s="29">
        <v>0</v>
      </c>
      <c r="N11" s="30" t="s">
        <v>87</v>
      </c>
      <c r="O11" s="29">
        <f>12*7</f>
        <v>84</v>
      </c>
      <c r="P11" s="29">
        <v>2</v>
      </c>
      <c r="Q11" s="29" t="s">
        <v>82</v>
      </c>
      <c r="R11" s="29" t="s">
        <v>56</v>
      </c>
      <c r="S11" s="29" t="s">
        <v>57</v>
      </c>
      <c r="T11" s="35">
        <v>1</v>
      </c>
      <c r="U11" s="36">
        <f>2/10*100</f>
        <v>20</v>
      </c>
      <c r="V11" s="44">
        <f>AVERAGE(1,1,0,0,0,0,0,0,0,0,0,0,0)</f>
        <v>0.15384615384615385</v>
      </c>
      <c r="W11" s="55">
        <v>1</v>
      </c>
      <c r="X11" s="55">
        <f>7/10*100</f>
        <v>70</v>
      </c>
      <c r="Y11" s="75">
        <f>AVERAGE(0,15,25,19,10,0,8,0,20,48)</f>
        <v>14.5</v>
      </c>
      <c r="Z11" s="35">
        <v>0</v>
      </c>
      <c r="AA11" s="37">
        <v>0</v>
      </c>
      <c r="AB11" s="33" t="s">
        <v>84</v>
      </c>
      <c r="AC11" s="34">
        <f>2/10*100</f>
        <v>20</v>
      </c>
      <c r="AD11" s="34">
        <f>AVERAGE(1,0,0,0,0,0,0,0,0,0)</f>
        <v>0.1</v>
      </c>
      <c r="AE11" s="40" t="s">
        <v>59</v>
      </c>
      <c r="AF11" s="29" t="s">
        <v>61</v>
      </c>
      <c r="AG11" s="29">
        <v>0</v>
      </c>
      <c r="AH11" s="29" t="s">
        <v>64</v>
      </c>
      <c r="AI11" s="29" t="s">
        <v>88</v>
      </c>
      <c r="AJ11" s="34">
        <v>3.78</v>
      </c>
      <c r="AK11" s="34">
        <v>0</v>
      </c>
      <c r="AL11" s="34">
        <v>0</v>
      </c>
      <c r="AM11" s="34">
        <v>0</v>
      </c>
      <c r="AN11" s="34">
        <v>0</v>
      </c>
      <c r="AO11" s="114"/>
      <c r="AP11" s="74">
        <v>1</v>
      </c>
      <c r="AQ11" s="74">
        <f>AVERAGE(5,5,1,5,6)</f>
        <v>4.4000000000000004</v>
      </c>
      <c r="AR11" s="74">
        <v>1</v>
      </c>
      <c r="AS11" s="110">
        <f>AVERAGE(3,2,3,2,2)</f>
        <v>2.4</v>
      </c>
      <c r="AT11" s="114"/>
      <c r="AU11" s="114"/>
    </row>
    <row r="12" spans="1:47" s="40" customFormat="1" ht="43.5">
      <c r="A12" s="39" t="s">
        <v>47</v>
      </c>
      <c r="B12" s="39" t="s">
        <v>48</v>
      </c>
      <c r="C12" s="40" t="s">
        <v>49</v>
      </c>
      <c r="D12" s="40" t="s">
        <v>50</v>
      </c>
      <c r="E12" s="40" t="s">
        <v>70</v>
      </c>
      <c r="F12" s="40" t="s">
        <v>74</v>
      </c>
      <c r="G12" s="40" t="s">
        <v>89</v>
      </c>
      <c r="H12" s="40">
        <v>29</v>
      </c>
      <c r="I12" s="3">
        <v>42566</v>
      </c>
      <c r="J12" s="82">
        <v>-3.4727800000000002</v>
      </c>
      <c r="K12" s="82">
        <v>29.520869999999999</v>
      </c>
      <c r="L12" s="82">
        <v>2199</v>
      </c>
      <c r="M12" s="29" t="s">
        <v>64</v>
      </c>
      <c r="N12" s="29" t="s">
        <v>90</v>
      </c>
      <c r="O12" s="29">
        <f>20*11</f>
        <v>220</v>
      </c>
      <c r="P12" s="29" t="s">
        <v>64</v>
      </c>
      <c r="Q12" s="29" t="s">
        <v>82</v>
      </c>
      <c r="R12" s="40" t="s">
        <v>56</v>
      </c>
      <c r="S12" s="40" t="s">
        <v>57</v>
      </c>
      <c r="T12" s="31">
        <v>0</v>
      </c>
      <c r="U12" s="31">
        <v>0</v>
      </c>
      <c r="V12" s="32">
        <v>0</v>
      </c>
      <c r="W12" s="54">
        <v>1</v>
      </c>
      <c r="X12" s="54">
        <v>60</v>
      </c>
      <c r="Y12" s="80">
        <f>AVERAGE(1,5,11,4,10,4,0,0,0,0)</f>
        <v>3.5</v>
      </c>
      <c r="Z12" s="31">
        <v>0</v>
      </c>
      <c r="AA12" s="32">
        <v>0</v>
      </c>
      <c r="AB12" s="33" t="s">
        <v>84</v>
      </c>
      <c r="AC12" s="32">
        <v>10</v>
      </c>
      <c r="AD12" s="31">
        <v>0.2</v>
      </c>
      <c r="AE12" s="29" t="s">
        <v>91</v>
      </c>
      <c r="AF12" s="29" t="s">
        <v>92</v>
      </c>
      <c r="AG12" s="29">
        <v>0</v>
      </c>
      <c r="AH12" s="29" t="s">
        <v>64</v>
      </c>
      <c r="AI12" s="29" t="s">
        <v>64</v>
      </c>
      <c r="AJ12" s="31"/>
      <c r="AK12" s="31"/>
      <c r="AL12" s="31"/>
      <c r="AM12" s="31"/>
      <c r="AN12" s="31"/>
      <c r="AO12" s="118"/>
      <c r="AP12" s="76">
        <v>1</v>
      </c>
      <c r="AQ12" s="76">
        <f>AVERAGE(6,6,5,6,6)</f>
        <v>5.8</v>
      </c>
      <c r="AR12" s="76">
        <v>1</v>
      </c>
      <c r="AS12" s="112">
        <f>AVERAGE(5,5,7,7,7)</f>
        <v>6.2</v>
      </c>
      <c r="AT12" s="118"/>
      <c r="AU12" s="118"/>
    </row>
    <row r="13" spans="1:47" s="40" customFormat="1" ht="29.1">
      <c r="A13" s="39" t="s">
        <v>47</v>
      </c>
      <c r="B13" s="39" t="s">
        <v>48</v>
      </c>
      <c r="C13" s="40" t="s">
        <v>49</v>
      </c>
      <c r="D13" s="40" t="s">
        <v>78</v>
      </c>
      <c r="E13" s="40" t="s">
        <v>78</v>
      </c>
      <c r="F13" s="40" t="s">
        <v>79</v>
      </c>
      <c r="G13" s="40" t="s">
        <v>79</v>
      </c>
      <c r="H13" s="40">
        <v>25</v>
      </c>
      <c r="I13" s="3">
        <v>42565</v>
      </c>
      <c r="J13" s="39">
        <v>-3.2931564</v>
      </c>
      <c r="K13" s="39">
        <v>29.549791299999999</v>
      </c>
      <c r="L13" s="39">
        <v>2209</v>
      </c>
      <c r="M13" s="40" t="s">
        <v>64</v>
      </c>
      <c r="N13" s="40" t="s">
        <v>64</v>
      </c>
      <c r="O13" s="40">
        <f>31*10</f>
        <v>310</v>
      </c>
      <c r="P13" s="40">
        <v>3.5</v>
      </c>
      <c r="Q13" s="40" t="s">
        <v>64</v>
      </c>
      <c r="R13" s="40" t="s">
        <v>56</v>
      </c>
      <c r="S13" s="40" t="s">
        <v>57</v>
      </c>
      <c r="T13" s="47">
        <v>0</v>
      </c>
      <c r="U13" s="47">
        <v>0</v>
      </c>
      <c r="V13" s="48">
        <v>0</v>
      </c>
      <c r="W13" s="53">
        <v>1</v>
      </c>
      <c r="X13" s="53">
        <v>30</v>
      </c>
      <c r="Y13" s="79">
        <f>AVERAGE(7,10,5,0,0,0,0,0,0,0)</f>
        <v>2.2000000000000002</v>
      </c>
      <c r="Z13" s="47">
        <v>0</v>
      </c>
      <c r="AA13" s="48">
        <v>0</v>
      </c>
      <c r="AB13" s="46" t="s">
        <v>58</v>
      </c>
      <c r="AC13" s="48">
        <v>0</v>
      </c>
      <c r="AD13" s="47">
        <v>0</v>
      </c>
      <c r="AE13" s="40" t="s">
        <v>64</v>
      </c>
      <c r="AF13" s="40" t="s">
        <v>61</v>
      </c>
      <c r="AG13" s="40">
        <v>1</v>
      </c>
      <c r="AH13" s="40" t="s">
        <v>64</v>
      </c>
      <c r="AI13" s="40" t="s">
        <v>64</v>
      </c>
      <c r="AJ13" s="44"/>
      <c r="AK13" s="44"/>
      <c r="AL13" s="44"/>
      <c r="AM13" s="44"/>
      <c r="AN13" s="44"/>
      <c r="AO13" s="116"/>
      <c r="AP13" s="76">
        <v>1</v>
      </c>
      <c r="AQ13" s="76">
        <f>AVERAGE(6,7,6,7,7)</f>
        <v>6.6</v>
      </c>
      <c r="AR13" s="76">
        <v>1</v>
      </c>
      <c r="AS13" s="112">
        <f>AVERAGE(5,7,7,2,5)</f>
        <v>5.2</v>
      </c>
      <c r="AT13" s="118"/>
      <c r="AU13" s="118"/>
    </row>
    <row r="14" spans="1:47" s="40" customFormat="1" ht="29.1">
      <c r="A14" s="39" t="s">
        <v>47</v>
      </c>
      <c r="B14" s="39" t="s">
        <v>48</v>
      </c>
      <c r="C14" s="40" t="s">
        <v>49</v>
      </c>
      <c r="D14" s="40" t="s">
        <v>78</v>
      </c>
      <c r="E14" s="40" t="s">
        <v>78</v>
      </c>
      <c r="F14" s="40" t="s">
        <v>79</v>
      </c>
      <c r="G14" s="40" t="s">
        <v>93</v>
      </c>
      <c r="H14" s="40">
        <v>22</v>
      </c>
      <c r="I14" s="3">
        <v>42565</v>
      </c>
      <c r="J14" s="39">
        <v>-3.3658318999999999</v>
      </c>
      <c r="K14" s="39">
        <v>29.554023699999998</v>
      </c>
      <c r="L14" s="39">
        <v>2228</v>
      </c>
      <c r="M14" s="40" t="s">
        <v>64</v>
      </c>
      <c r="N14" s="40" t="s">
        <v>64</v>
      </c>
      <c r="O14" s="40">
        <f>37*8</f>
        <v>296</v>
      </c>
      <c r="P14" s="40">
        <v>2.5</v>
      </c>
      <c r="Q14" s="40" t="s">
        <v>82</v>
      </c>
      <c r="R14" s="40" t="s">
        <v>56</v>
      </c>
      <c r="S14" s="40" t="s">
        <v>57</v>
      </c>
      <c r="T14" s="47">
        <v>0</v>
      </c>
      <c r="U14" s="47">
        <v>0</v>
      </c>
      <c r="V14" s="48">
        <v>0</v>
      </c>
      <c r="W14" s="53">
        <v>1</v>
      </c>
      <c r="X14" s="53">
        <v>90</v>
      </c>
      <c r="Y14" s="79">
        <f>AVERAGE(4,26,29,38,49,43,20,7,78,0)</f>
        <v>29.4</v>
      </c>
      <c r="Z14" s="47">
        <v>0</v>
      </c>
      <c r="AA14" s="48">
        <v>0</v>
      </c>
      <c r="AB14" s="46" t="s">
        <v>58</v>
      </c>
      <c r="AC14" s="48">
        <v>0</v>
      </c>
      <c r="AD14" s="47">
        <v>0</v>
      </c>
      <c r="AE14" s="40" t="s">
        <v>64</v>
      </c>
      <c r="AF14" s="40" t="s">
        <v>61</v>
      </c>
      <c r="AG14" s="40">
        <v>0</v>
      </c>
      <c r="AH14" s="40" t="s">
        <v>64</v>
      </c>
      <c r="AI14" s="40" t="s">
        <v>64</v>
      </c>
      <c r="AJ14" s="47"/>
      <c r="AK14" s="47"/>
      <c r="AL14" s="47"/>
      <c r="AM14" s="47"/>
      <c r="AN14" s="47"/>
      <c r="AO14" s="116"/>
      <c r="AP14" s="76">
        <v>0</v>
      </c>
      <c r="AQ14" s="76">
        <v>0</v>
      </c>
      <c r="AR14" s="76">
        <v>1</v>
      </c>
      <c r="AS14" s="112">
        <f>AVERAGE(7,6,7,6,7)</f>
        <v>6.6</v>
      </c>
      <c r="AT14" s="118"/>
      <c r="AU14" s="118"/>
    </row>
    <row r="15" spans="1:47" s="40" customFormat="1" ht="43.5">
      <c r="A15" s="39" t="s">
        <v>47</v>
      </c>
      <c r="B15" s="39" t="s">
        <v>48</v>
      </c>
      <c r="C15" s="40" t="s">
        <v>49</v>
      </c>
      <c r="D15" s="40" t="s">
        <v>50</v>
      </c>
      <c r="E15" s="1" t="s">
        <v>94</v>
      </c>
      <c r="F15" s="1" t="s">
        <v>95</v>
      </c>
      <c r="G15" s="1" t="s">
        <v>96</v>
      </c>
      <c r="H15" s="1">
        <v>6</v>
      </c>
      <c r="I15" s="3">
        <v>42563</v>
      </c>
      <c r="J15" s="28">
        <v>-3.5070603</v>
      </c>
      <c r="K15" s="28">
        <v>29.524435</v>
      </c>
      <c r="L15" s="2">
        <v>2231</v>
      </c>
      <c r="M15" s="1">
        <v>0</v>
      </c>
      <c r="N15" s="3" t="s">
        <v>97</v>
      </c>
      <c r="O15" s="1">
        <f>23*14</f>
        <v>322</v>
      </c>
      <c r="P15" s="1">
        <v>2.5</v>
      </c>
      <c r="Q15" s="1" t="s">
        <v>82</v>
      </c>
      <c r="R15" s="1" t="s">
        <v>56</v>
      </c>
      <c r="S15" s="29" t="s">
        <v>57</v>
      </c>
      <c r="T15" s="6">
        <v>0</v>
      </c>
      <c r="U15" s="7">
        <v>0</v>
      </c>
      <c r="V15" s="44">
        <f>AVERAGE(0)</f>
        <v>0</v>
      </c>
      <c r="W15" s="56">
        <v>1</v>
      </c>
      <c r="X15" s="56">
        <v>40</v>
      </c>
      <c r="Y15" s="78">
        <f>AVERAGE(0,0,0,0,0,0,2,6,1,8)</f>
        <v>1.7</v>
      </c>
      <c r="Z15" s="6">
        <v>0</v>
      </c>
      <c r="AA15" s="12">
        <v>0</v>
      </c>
      <c r="AB15" s="10" t="s">
        <v>84</v>
      </c>
      <c r="AC15" s="8">
        <f>1/10*100</f>
        <v>10</v>
      </c>
      <c r="AD15" s="8">
        <v>1</v>
      </c>
      <c r="AE15" s="1" t="s">
        <v>76</v>
      </c>
      <c r="AF15" s="1" t="s">
        <v>98</v>
      </c>
      <c r="AG15" s="1">
        <v>0</v>
      </c>
      <c r="AH15" s="1" t="s">
        <v>99</v>
      </c>
      <c r="AI15" s="1" t="s">
        <v>100</v>
      </c>
      <c r="AJ15" s="8"/>
      <c r="AK15" s="9"/>
      <c r="AL15" s="9"/>
      <c r="AM15" s="9"/>
      <c r="AN15" s="9"/>
      <c r="AO15" s="119"/>
      <c r="AP15" s="77">
        <v>1</v>
      </c>
      <c r="AQ15" s="77">
        <f>AVERAGE(5,1,1,7,1)</f>
        <v>3</v>
      </c>
      <c r="AR15" s="77">
        <v>1</v>
      </c>
      <c r="AS15" s="111">
        <f>AVERAGE(4,4,5,3,5)</f>
        <v>4.2</v>
      </c>
      <c r="AT15" s="116"/>
      <c r="AU15" s="116"/>
    </row>
    <row r="16" spans="1:47" s="29" customFormat="1" ht="29.1">
      <c r="A16" s="39" t="s">
        <v>47</v>
      </c>
      <c r="B16" s="39" t="s">
        <v>48</v>
      </c>
      <c r="C16" s="40" t="s">
        <v>49</v>
      </c>
      <c r="D16" s="40" t="s">
        <v>50</v>
      </c>
      <c r="E16" s="1" t="s">
        <v>94</v>
      </c>
      <c r="F16" s="1" t="s">
        <v>95</v>
      </c>
      <c r="G16" s="1"/>
      <c r="H16" s="1">
        <v>9</v>
      </c>
      <c r="I16" s="3">
        <v>42563</v>
      </c>
      <c r="J16" s="2">
        <v>-3.5271300999999999</v>
      </c>
      <c r="K16" s="2">
        <v>29.523237200000001</v>
      </c>
      <c r="L16" s="2">
        <v>2244</v>
      </c>
      <c r="M16" s="1">
        <v>0</v>
      </c>
      <c r="N16" s="1" t="s">
        <v>64</v>
      </c>
      <c r="O16" s="1">
        <f>3*53</f>
        <v>159</v>
      </c>
      <c r="P16" s="1">
        <v>2</v>
      </c>
      <c r="Q16" s="1" t="s">
        <v>82</v>
      </c>
      <c r="R16" s="1" t="s">
        <v>56</v>
      </c>
      <c r="S16" s="29" t="s">
        <v>57</v>
      </c>
      <c r="T16" s="6">
        <v>0</v>
      </c>
      <c r="U16" s="7">
        <v>0</v>
      </c>
      <c r="V16" s="44">
        <f>AVERAGE(0)</f>
        <v>0</v>
      </c>
      <c r="W16" s="56">
        <v>1</v>
      </c>
      <c r="X16" s="56">
        <v>90</v>
      </c>
      <c r="Y16" s="78">
        <f>AVERAGE(3,22,2,30,100,2,4,17,26,150,0)</f>
        <v>32.363636363636367</v>
      </c>
      <c r="Z16" s="6">
        <v>0</v>
      </c>
      <c r="AA16" s="12">
        <v>0</v>
      </c>
      <c r="AB16" s="10" t="s">
        <v>58</v>
      </c>
      <c r="AC16" s="8">
        <v>0</v>
      </c>
      <c r="AD16" s="8">
        <v>0</v>
      </c>
      <c r="AE16" s="1" t="s">
        <v>64</v>
      </c>
      <c r="AF16" s="1" t="s">
        <v>61</v>
      </c>
      <c r="AG16" s="1">
        <v>1</v>
      </c>
      <c r="AH16" s="1" t="s">
        <v>64</v>
      </c>
      <c r="AI16" s="1" t="s">
        <v>64</v>
      </c>
      <c r="AJ16" s="8"/>
      <c r="AK16" s="9"/>
      <c r="AL16" s="9"/>
      <c r="AM16" s="9"/>
      <c r="AN16" s="9"/>
      <c r="AO16" s="119"/>
      <c r="AP16" s="77">
        <v>1</v>
      </c>
      <c r="AQ16" s="77">
        <f>AVERAGE(5,5,5,5,5)</f>
        <v>5</v>
      </c>
      <c r="AR16" s="77">
        <v>1</v>
      </c>
      <c r="AS16" s="111">
        <f>AVERAGE(2,3,2,2,3)</f>
        <v>2.4</v>
      </c>
      <c r="AT16" s="116"/>
      <c r="AU16" s="116"/>
    </row>
    <row r="17" spans="1:47" s="29" customFormat="1" ht="29.1">
      <c r="A17" s="39" t="s">
        <v>47</v>
      </c>
      <c r="B17" s="39" t="s">
        <v>48</v>
      </c>
      <c r="C17" s="40" t="s">
        <v>49</v>
      </c>
      <c r="D17" s="40" t="s">
        <v>50</v>
      </c>
      <c r="E17" s="40" t="s">
        <v>70</v>
      </c>
      <c r="F17" s="40" t="s">
        <v>101</v>
      </c>
      <c r="G17" s="47" t="s">
        <v>102</v>
      </c>
      <c r="H17" s="40">
        <v>32</v>
      </c>
      <c r="I17" s="3">
        <v>42566</v>
      </c>
      <c r="J17" s="83">
        <v>-3.4547099999999999</v>
      </c>
      <c r="K17" s="83">
        <v>29.534510000000001</v>
      </c>
      <c r="L17" s="83">
        <v>2244</v>
      </c>
      <c r="M17" s="1" t="s">
        <v>64</v>
      </c>
      <c r="N17" s="1" t="s">
        <v>103</v>
      </c>
      <c r="O17" s="1">
        <f>24*20</f>
        <v>480</v>
      </c>
      <c r="P17" s="1">
        <v>3</v>
      </c>
      <c r="Q17" s="1" t="s">
        <v>64</v>
      </c>
      <c r="R17" s="40" t="s">
        <v>56</v>
      </c>
      <c r="S17" s="40" t="s">
        <v>57</v>
      </c>
      <c r="T17" s="9">
        <v>0</v>
      </c>
      <c r="U17" s="9">
        <v>0</v>
      </c>
      <c r="V17" s="11">
        <v>0</v>
      </c>
      <c r="W17" s="57">
        <v>1</v>
      </c>
      <c r="X17" s="57">
        <f>9/12*100</f>
        <v>75</v>
      </c>
      <c r="Y17" s="84">
        <f>AVERAGE(0,0,2,1,0,11,20,7,2,4,4,12)</f>
        <v>5.25</v>
      </c>
      <c r="Z17" s="9">
        <v>1</v>
      </c>
      <c r="AA17" s="9">
        <f>AVERAGE(1,0,0,0,0,0,0,0,0,0)</f>
        <v>0.1</v>
      </c>
      <c r="AB17" s="10" t="s">
        <v>84</v>
      </c>
      <c r="AC17" s="11">
        <v>10</v>
      </c>
      <c r="AD17" s="9">
        <v>0.1</v>
      </c>
      <c r="AE17" s="1" t="s">
        <v>64</v>
      </c>
      <c r="AF17" s="1" t="s">
        <v>85</v>
      </c>
      <c r="AG17" s="1">
        <v>0</v>
      </c>
      <c r="AH17" s="1" t="s">
        <v>64</v>
      </c>
      <c r="AI17" s="1" t="s">
        <v>64</v>
      </c>
      <c r="AJ17" s="9"/>
      <c r="AK17" s="9"/>
      <c r="AL17" s="9"/>
      <c r="AM17" s="9"/>
      <c r="AN17" s="9"/>
      <c r="AO17" s="119"/>
      <c r="AP17" s="76">
        <v>1</v>
      </c>
      <c r="AQ17" s="76">
        <f>AVERAGE(5,6,1,5,1)</f>
        <v>3.6</v>
      </c>
      <c r="AR17" s="76">
        <v>1</v>
      </c>
      <c r="AS17" s="112">
        <f>AVERAGE(5,5,4,4,5)</f>
        <v>4.5999999999999996</v>
      </c>
      <c r="AT17" s="118"/>
      <c r="AU17" s="118"/>
    </row>
    <row r="18" spans="1:47" s="29" customFormat="1" ht="43.5">
      <c r="A18" s="39" t="s">
        <v>47</v>
      </c>
      <c r="B18" s="39" t="s">
        <v>48</v>
      </c>
      <c r="C18" s="40" t="s">
        <v>49</v>
      </c>
      <c r="D18" s="40" t="s">
        <v>50</v>
      </c>
      <c r="E18" s="1" t="s">
        <v>94</v>
      </c>
      <c r="F18" s="1" t="s">
        <v>95</v>
      </c>
      <c r="G18" s="1" t="s">
        <v>64</v>
      </c>
      <c r="H18" s="1">
        <v>7</v>
      </c>
      <c r="I18" s="3">
        <v>42563</v>
      </c>
      <c r="J18" s="28">
        <v>-3.5154557</v>
      </c>
      <c r="K18" s="28">
        <v>29.526168800000001</v>
      </c>
      <c r="L18" s="2">
        <v>2247</v>
      </c>
      <c r="M18" s="1">
        <v>0</v>
      </c>
      <c r="N18" s="3" t="s">
        <v>104</v>
      </c>
      <c r="O18" s="1">
        <f>40*39</f>
        <v>1560</v>
      </c>
      <c r="P18" s="1">
        <v>1</v>
      </c>
      <c r="Q18" s="1" t="s">
        <v>55</v>
      </c>
      <c r="R18" s="1" t="s">
        <v>56</v>
      </c>
      <c r="S18" s="29" t="s">
        <v>57</v>
      </c>
      <c r="T18" s="6">
        <v>0</v>
      </c>
      <c r="U18" s="7">
        <v>0</v>
      </c>
      <c r="V18" s="44">
        <f>AVERAGE(0)</f>
        <v>0</v>
      </c>
      <c r="W18" s="56">
        <v>1</v>
      </c>
      <c r="X18" s="56">
        <v>40</v>
      </c>
      <c r="Y18" s="78">
        <f>AVERAGE(1,1,2,1,0,0,0,0,0,0)</f>
        <v>0.5</v>
      </c>
      <c r="Z18" s="6">
        <v>0</v>
      </c>
      <c r="AA18" s="12">
        <v>0</v>
      </c>
      <c r="AB18" s="10" t="s">
        <v>58</v>
      </c>
      <c r="AC18" s="8">
        <v>0</v>
      </c>
      <c r="AD18" s="8">
        <v>0</v>
      </c>
      <c r="AE18" s="1" t="s">
        <v>64</v>
      </c>
      <c r="AF18" s="1" t="s">
        <v>105</v>
      </c>
      <c r="AG18" s="1">
        <v>0</v>
      </c>
      <c r="AH18" s="1" t="s">
        <v>64</v>
      </c>
      <c r="AI18" s="1" t="s">
        <v>64</v>
      </c>
      <c r="AJ18" s="8"/>
      <c r="AK18" s="8"/>
      <c r="AL18" s="8"/>
      <c r="AM18" s="8"/>
      <c r="AN18" s="8"/>
      <c r="AO18" s="119"/>
      <c r="AP18" s="77">
        <v>1</v>
      </c>
      <c r="AQ18" s="77">
        <f>AVERAGE(5,5,1,1,1)</f>
        <v>2.6</v>
      </c>
      <c r="AR18" s="77">
        <v>1</v>
      </c>
      <c r="AS18" s="111">
        <f>AVERAGE(2,2,5,5,5)</f>
        <v>3.8</v>
      </c>
      <c r="AT18" s="116"/>
      <c r="AU18" s="116"/>
    </row>
    <row r="19" spans="1:47" s="29" customFormat="1" ht="29.1">
      <c r="A19" s="42" t="s">
        <v>47</v>
      </c>
      <c r="B19" s="39" t="s">
        <v>48</v>
      </c>
      <c r="C19" s="47" t="s">
        <v>49</v>
      </c>
      <c r="D19" s="47" t="s">
        <v>50</v>
      </c>
      <c r="E19" s="47" t="s">
        <v>70</v>
      </c>
      <c r="F19" s="47" t="s">
        <v>101</v>
      </c>
      <c r="G19" s="47" t="s">
        <v>102</v>
      </c>
      <c r="H19" s="47">
        <v>33</v>
      </c>
      <c r="I19" s="85">
        <v>42569</v>
      </c>
      <c r="J19" s="47">
        <v>-3.4497604000000002</v>
      </c>
      <c r="K19" s="47">
        <v>29.539835</v>
      </c>
      <c r="L19" s="47">
        <v>2256</v>
      </c>
      <c r="M19" s="47" t="s">
        <v>64</v>
      </c>
      <c r="N19" s="47" t="s">
        <v>106</v>
      </c>
      <c r="O19" s="47">
        <f>45*22</f>
        <v>990</v>
      </c>
      <c r="P19" s="47">
        <v>2.5</v>
      </c>
      <c r="Q19" s="47" t="s">
        <v>82</v>
      </c>
      <c r="R19" s="47" t="s">
        <v>56</v>
      </c>
      <c r="S19" s="47" t="s">
        <v>57</v>
      </c>
      <c r="T19" s="47">
        <v>0</v>
      </c>
      <c r="U19" s="47">
        <v>0</v>
      </c>
      <c r="V19" s="48">
        <v>0</v>
      </c>
      <c r="W19" s="47">
        <v>1</v>
      </c>
      <c r="X19" s="47">
        <f>19/20*100</f>
        <v>95</v>
      </c>
      <c r="Y19" s="48">
        <f>AVERAGE(28,5,22,2,21,45,3,17,11,4,1,3,2,7,43,0,43,26,14)</f>
        <v>15.631578947368421</v>
      </c>
      <c r="Z19" s="47">
        <v>0</v>
      </c>
      <c r="AA19" s="48">
        <v>0</v>
      </c>
      <c r="AB19" s="46" t="s">
        <v>58</v>
      </c>
      <c r="AC19" s="48">
        <v>0</v>
      </c>
      <c r="AD19" s="47">
        <v>0</v>
      </c>
      <c r="AE19" s="47" t="s">
        <v>76</v>
      </c>
      <c r="AF19" s="47" t="s">
        <v>85</v>
      </c>
      <c r="AG19" s="47"/>
      <c r="AH19" s="47" t="s">
        <v>61</v>
      </c>
      <c r="AI19" s="47" t="s">
        <v>61</v>
      </c>
      <c r="AJ19" s="44"/>
      <c r="AK19" s="44"/>
      <c r="AL19" s="44"/>
      <c r="AM19" s="44"/>
      <c r="AN19" s="44"/>
      <c r="AO19" s="116"/>
      <c r="AP19" s="76">
        <v>1</v>
      </c>
      <c r="AQ19" s="76">
        <f>AVERAGE(6,6,1,1,1)</f>
        <v>3</v>
      </c>
      <c r="AR19" s="76">
        <v>1</v>
      </c>
      <c r="AS19" s="112">
        <f>AVERAGE(6,6,6,6,5)</f>
        <v>5.8</v>
      </c>
      <c r="AT19" s="118"/>
      <c r="AU19" s="118"/>
    </row>
    <row r="20" spans="1:47" s="29" customFormat="1" ht="29.1">
      <c r="A20" s="39" t="s">
        <v>47</v>
      </c>
      <c r="B20" s="39" t="s">
        <v>48</v>
      </c>
      <c r="C20" s="40" t="s">
        <v>49</v>
      </c>
      <c r="D20" s="40" t="s">
        <v>50</v>
      </c>
      <c r="E20" s="40" t="s">
        <v>70</v>
      </c>
      <c r="F20" s="40" t="s">
        <v>74</v>
      </c>
      <c r="G20" s="40" t="s">
        <v>89</v>
      </c>
      <c r="H20" s="40">
        <v>28</v>
      </c>
      <c r="I20" s="3">
        <v>42566</v>
      </c>
      <c r="J20" s="81">
        <v>-3.47207</v>
      </c>
      <c r="K20" s="81">
        <v>29.53913</v>
      </c>
      <c r="L20" s="81">
        <v>2266</v>
      </c>
      <c r="M20" s="29" t="s">
        <v>64</v>
      </c>
      <c r="N20" s="29" t="s">
        <v>107</v>
      </c>
      <c r="O20" s="29">
        <f>19*10</f>
        <v>190</v>
      </c>
      <c r="P20" s="29">
        <v>3.5</v>
      </c>
      <c r="Q20" s="29" t="s">
        <v>83</v>
      </c>
      <c r="R20" s="40" t="s">
        <v>56</v>
      </c>
      <c r="S20" s="40" t="s">
        <v>57</v>
      </c>
      <c r="T20" s="31">
        <v>0</v>
      </c>
      <c r="U20" s="31">
        <v>0</v>
      </c>
      <c r="V20" s="32">
        <v>0</v>
      </c>
      <c r="W20" s="54">
        <v>1</v>
      </c>
      <c r="X20" s="54">
        <v>70</v>
      </c>
      <c r="Y20" s="79">
        <f>AVERAGE(40,11,0,60,8,0,4,9,15,0)</f>
        <v>14.7</v>
      </c>
      <c r="Z20" s="31">
        <v>0</v>
      </c>
      <c r="AA20" s="32">
        <v>0</v>
      </c>
      <c r="AB20" s="33" t="s">
        <v>58</v>
      </c>
      <c r="AC20" s="32">
        <v>0</v>
      </c>
      <c r="AD20" s="31">
        <v>0</v>
      </c>
      <c r="AE20" s="29" t="s">
        <v>76</v>
      </c>
      <c r="AF20" s="29" t="s">
        <v>61</v>
      </c>
      <c r="AG20" s="29">
        <v>0</v>
      </c>
      <c r="AH20" s="29" t="s">
        <v>64</v>
      </c>
      <c r="AI20" s="29" t="s">
        <v>64</v>
      </c>
      <c r="AJ20" s="34"/>
      <c r="AK20" s="34"/>
      <c r="AL20" s="34"/>
      <c r="AM20" s="34"/>
      <c r="AN20" s="34"/>
      <c r="AO20" s="118"/>
      <c r="AP20" s="76">
        <v>1</v>
      </c>
      <c r="AQ20" s="76">
        <f>AVERAGE(5,6,6,6,7)</f>
        <v>6</v>
      </c>
      <c r="AR20" s="76">
        <v>1</v>
      </c>
      <c r="AS20" s="112">
        <f>AVERAGE(4,2,4,3,3)</f>
        <v>3.2</v>
      </c>
      <c r="AT20" s="118"/>
      <c r="AU20" s="118"/>
    </row>
    <row r="21" spans="1:47" s="29" customFormat="1" ht="29.1">
      <c r="A21" s="39" t="s">
        <v>47</v>
      </c>
      <c r="B21" s="39" t="s">
        <v>48</v>
      </c>
      <c r="C21" s="40" t="s">
        <v>49</v>
      </c>
      <c r="D21" s="40" t="s">
        <v>50</v>
      </c>
      <c r="E21" s="1" t="s">
        <v>94</v>
      </c>
      <c r="F21" s="1" t="s">
        <v>95</v>
      </c>
      <c r="G21" s="1" t="s">
        <v>108</v>
      </c>
      <c r="H21" s="1">
        <v>12</v>
      </c>
      <c r="I21" s="3">
        <v>42563</v>
      </c>
      <c r="J21" s="2">
        <v>-3.5270290000000002</v>
      </c>
      <c r="K21" s="2">
        <v>29.519815399999999</v>
      </c>
      <c r="L21" s="2">
        <v>2268</v>
      </c>
      <c r="M21" s="1">
        <v>72110951</v>
      </c>
      <c r="N21" s="1" t="s">
        <v>109</v>
      </c>
      <c r="O21" s="1">
        <f>17*28</f>
        <v>476</v>
      </c>
      <c r="P21" s="1">
        <v>3</v>
      </c>
      <c r="Q21" s="1" t="s">
        <v>82</v>
      </c>
      <c r="R21" s="1" t="s">
        <v>56</v>
      </c>
      <c r="S21" s="29" t="s">
        <v>57</v>
      </c>
      <c r="T21" s="6">
        <v>0</v>
      </c>
      <c r="U21" s="7">
        <v>0</v>
      </c>
      <c r="V21" s="44">
        <f>AVERAGE(0)</f>
        <v>0</v>
      </c>
      <c r="W21" s="56">
        <v>0</v>
      </c>
      <c r="X21" s="56">
        <v>0</v>
      </c>
      <c r="Y21" s="78">
        <v>0</v>
      </c>
      <c r="Z21" s="6">
        <v>0</v>
      </c>
      <c r="AA21" s="12">
        <v>0</v>
      </c>
      <c r="AB21" s="10" t="s">
        <v>84</v>
      </c>
      <c r="AC21" s="8">
        <v>10</v>
      </c>
      <c r="AD21" s="8">
        <v>1</v>
      </c>
      <c r="AE21" s="1" t="s">
        <v>76</v>
      </c>
      <c r="AF21" s="1" t="s">
        <v>110</v>
      </c>
      <c r="AG21" s="1">
        <v>0</v>
      </c>
      <c r="AH21" s="1" t="s">
        <v>61</v>
      </c>
      <c r="AI21" s="1" t="s">
        <v>61</v>
      </c>
      <c r="AJ21" s="8"/>
      <c r="AK21" s="8"/>
      <c r="AL21" s="8"/>
      <c r="AM21" s="8"/>
      <c r="AN21" s="8"/>
      <c r="AO21" s="119"/>
      <c r="AP21" s="77">
        <v>1</v>
      </c>
      <c r="AQ21" s="77">
        <f>AVERAGE(1,1,1,5,5)</f>
        <v>2.6</v>
      </c>
      <c r="AR21" s="77">
        <v>1</v>
      </c>
      <c r="AS21" s="111">
        <f>AVERAGE(3,5,2,3,5)</f>
        <v>3.6</v>
      </c>
      <c r="AT21" s="116"/>
      <c r="AU21" s="116"/>
    </row>
    <row r="22" spans="1:47" s="29" customFormat="1" ht="29.1">
      <c r="A22" s="39" t="s">
        <v>47</v>
      </c>
      <c r="B22" s="39" t="s">
        <v>48</v>
      </c>
      <c r="C22" s="40" t="s">
        <v>49</v>
      </c>
      <c r="D22" s="40" t="s">
        <v>50</v>
      </c>
      <c r="E22" s="1" t="s">
        <v>94</v>
      </c>
      <c r="F22" s="1" t="s">
        <v>95</v>
      </c>
      <c r="G22" s="1" t="s">
        <v>95</v>
      </c>
      <c r="H22" s="1">
        <v>8</v>
      </c>
      <c r="I22" s="3">
        <v>42563</v>
      </c>
      <c r="J22" s="28">
        <v>-3.5198858</v>
      </c>
      <c r="K22" s="28">
        <v>29.5249329</v>
      </c>
      <c r="L22" s="2">
        <v>2269</v>
      </c>
      <c r="M22" s="1">
        <v>0</v>
      </c>
      <c r="N22" s="3" t="s">
        <v>64</v>
      </c>
      <c r="O22" s="1">
        <f>20*14</f>
        <v>280</v>
      </c>
      <c r="P22" s="1">
        <v>2</v>
      </c>
      <c r="Q22" s="1" t="s">
        <v>55</v>
      </c>
      <c r="R22" s="1" t="s">
        <v>56</v>
      </c>
      <c r="S22" s="29" t="s">
        <v>57</v>
      </c>
      <c r="T22" s="6">
        <v>0</v>
      </c>
      <c r="U22" s="7">
        <v>0</v>
      </c>
      <c r="V22" s="44">
        <f>AVERAGE(0)</f>
        <v>0</v>
      </c>
      <c r="W22" s="56">
        <v>1</v>
      </c>
      <c r="X22" s="56">
        <v>40</v>
      </c>
      <c r="Y22" s="78">
        <f>AVERAGE(2,2,1,7,0,0,0,0,0,0)</f>
        <v>1.2</v>
      </c>
      <c r="Z22" s="6">
        <v>0</v>
      </c>
      <c r="AA22" s="12">
        <v>0</v>
      </c>
      <c r="AB22" s="10" t="s">
        <v>58</v>
      </c>
      <c r="AC22" s="8">
        <v>0</v>
      </c>
      <c r="AD22" s="7">
        <v>0</v>
      </c>
      <c r="AE22" s="1" t="s">
        <v>64</v>
      </c>
      <c r="AF22" s="1" t="s">
        <v>61</v>
      </c>
      <c r="AG22" s="1">
        <v>1</v>
      </c>
      <c r="AH22" s="1" t="s">
        <v>64</v>
      </c>
      <c r="AI22" s="1" t="s">
        <v>64</v>
      </c>
      <c r="AJ22" s="8"/>
      <c r="AK22" s="8"/>
      <c r="AL22" s="8"/>
      <c r="AM22" s="8"/>
      <c r="AN22" s="8"/>
      <c r="AO22" s="119"/>
      <c r="AP22" s="77">
        <v>1</v>
      </c>
      <c r="AQ22" s="77">
        <f>AVERAGE(5,1,1,1,1)</f>
        <v>1.8</v>
      </c>
      <c r="AR22" s="77">
        <v>1</v>
      </c>
      <c r="AS22" s="111">
        <f>AVERAGE(2,5,6,5,2)</f>
        <v>4</v>
      </c>
      <c r="AT22" s="116"/>
      <c r="AU22" s="116"/>
    </row>
    <row r="23" spans="1:47" s="29" customFormat="1" ht="29.1">
      <c r="A23" s="39" t="s">
        <v>47</v>
      </c>
      <c r="B23" s="39" t="s">
        <v>48</v>
      </c>
      <c r="C23" s="40" t="s">
        <v>49</v>
      </c>
      <c r="D23" s="40" t="s">
        <v>50</v>
      </c>
      <c r="E23" s="40" t="s">
        <v>70</v>
      </c>
      <c r="F23" s="40" t="s">
        <v>74</v>
      </c>
      <c r="G23" s="40" t="s">
        <v>111</v>
      </c>
      <c r="H23" s="40">
        <v>31</v>
      </c>
      <c r="I23" s="3">
        <v>42566</v>
      </c>
      <c r="J23" s="82">
        <v>-3.4598399999999998</v>
      </c>
      <c r="K23" s="82">
        <v>29.548449999999999</v>
      </c>
      <c r="L23" s="82">
        <v>2277</v>
      </c>
      <c r="M23" s="29" t="s">
        <v>64</v>
      </c>
      <c r="N23" s="29" t="s">
        <v>112</v>
      </c>
      <c r="O23" s="29">
        <f>13*7</f>
        <v>91</v>
      </c>
      <c r="P23" s="29">
        <v>2.5</v>
      </c>
      <c r="Q23" s="29" t="s">
        <v>82</v>
      </c>
      <c r="R23" s="40" t="s">
        <v>56</v>
      </c>
      <c r="S23" s="40" t="s">
        <v>57</v>
      </c>
      <c r="T23" s="31">
        <v>0</v>
      </c>
      <c r="U23" s="31">
        <v>0</v>
      </c>
      <c r="V23" s="32">
        <v>0</v>
      </c>
      <c r="W23" s="54">
        <v>1</v>
      </c>
      <c r="X23" s="54">
        <v>80</v>
      </c>
      <c r="Y23" s="80">
        <f>AVERAGE(7,63,41,5,0,20,11,0,24,8,39)</f>
        <v>19.818181818181817</v>
      </c>
      <c r="Z23" s="31">
        <v>0</v>
      </c>
      <c r="AA23" s="32">
        <v>0</v>
      </c>
      <c r="AB23" s="33" t="s">
        <v>84</v>
      </c>
      <c r="AC23" s="32">
        <v>0</v>
      </c>
      <c r="AD23" s="31">
        <v>0.1</v>
      </c>
      <c r="AE23" s="29" t="s">
        <v>76</v>
      </c>
      <c r="AF23" s="29" t="s">
        <v>61</v>
      </c>
      <c r="AG23" s="29">
        <v>1</v>
      </c>
      <c r="AH23" s="29" t="s">
        <v>64</v>
      </c>
      <c r="AI23" s="29" t="s">
        <v>88</v>
      </c>
      <c r="AJ23" s="34">
        <v>3.78</v>
      </c>
      <c r="AK23" s="34">
        <v>1</v>
      </c>
      <c r="AL23" s="34">
        <v>0.04</v>
      </c>
      <c r="AM23" s="34">
        <f>1</f>
        <v>1</v>
      </c>
      <c r="AN23" s="34">
        <v>1</v>
      </c>
      <c r="AO23" s="118"/>
      <c r="AP23" s="76">
        <v>1</v>
      </c>
      <c r="AQ23" s="76">
        <f>AVERAGE(6,6,6,6,1)</f>
        <v>5</v>
      </c>
      <c r="AR23" s="76">
        <v>1</v>
      </c>
      <c r="AS23" s="112">
        <f>AVERAGE(3,2,3,4,5)</f>
        <v>3.4</v>
      </c>
      <c r="AT23" s="118"/>
      <c r="AU23" s="118"/>
    </row>
    <row r="24" spans="1:47" s="29" customFormat="1" ht="29.1">
      <c r="A24" s="42" t="s">
        <v>47</v>
      </c>
      <c r="B24" s="39" t="s">
        <v>48</v>
      </c>
      <c r="C24" s="47" t="s">
        <v>49</v>
      </c>
      <c r="D24" s="47" t="s">
        <v>50</v>
      </c>
      <c r="E24" s="40" t="s">
        <v>70</v>
      </c>
      <c r="F24" s="47" t="s">
        <v>101</v>
      </c>
      <c r="G24" s="47" t="s">
        <v>113</v>
      </c>
      <c r="H24" s="47">
        <v>34</v>
      </c>
      <c r="I24" s="85">
        <v>42569</v>
      </c>
      <c r="J24" s="9">
        <v>-3.4455984000000002</v>
      </c>
      <c r="K24" s="9">
        <v>29.5350094</v>
      </c>
      <c r="L24" s="9">
        <v>2277</v>
      </c>
      <c r="M24" s="9"/>
      <c r="N24" s="9" t="s">
        <v>114</v>
      </c>
      <c r="O24" s="9">
        <f>12*24</f>
        <v>288</v>
      </c>
      <c r="P24" s="9">
        <v>3</v>
      </c>
      <c r="Q24" s="9" t="s">
        <v>82</v>
      </c>
      <c r="R24" s="47" t="s">
        <v>56</v>
      </c>
      <c r="S24" s="47" t="s">
        <v>57</v>
      </c>
      <c r="T24" s="9">
        <v>0</v>
      </c>
      <c r="U24" s="9">
        <v>0</v>
      </c>
      <c r="V24" s="11">
        <v>0</v>
      </c>
      <c r="W24" s="9">
        <v>1</v>
      </c>
      <c r="X24" s="9">
        <v>60</v>
      </c>
      <c r="Y24" s="11">
        <f>AVERAGE(5,0,2,45,0,0,1,27,1,0)</f>
        <v>8.1</v>
      </c>
      <c r="Z24" s="9">
        <v>0</v>
      </c>
      <c r="AA24" s="11">
        <v>0</v>
      </c>
      <c r="AB24" s="10" t="s">
        <v>58</v>
      </c>
      <c r="AC24" s="11">
        <v>0</v>
      </c>
      <c r="AD24" s="9">
        <v>0</v>
      </c>
      <c r="AE24" s="9" t="s">
        <v>115</v>
      </c>
      <c r="AF24" s="9" t="s">
        <v>85</v>
      </c>
      <c r="AG24" s="9"/>
      <c r="AH24" s="9" t="s">
        <v>61</v>
      </c>
      <c r="AI24" s="9" t="s">
        <v>88</v>
      </c>
      <c r="AJ24" s="8"/>
      <c r="AK24" s="8"/>
      <c r="AL24" s="8"/>
      <c r="AM24" s="8"/>
      <c r="AN24" s="8"/>
      <c r="AO24" s="119"/>
      <c r="AP24" s="76">
        <v>1</v>
      </c>
      <c r="AQ24" s="76">
        <f>AVERAGE(6,1,1,1,1)</f>
        <v>2</v>
      </c>
      <c r="AR24" s="76">
        <v>1</v>
      </c>
      <c r="AS24" s="112">
        <f>AVERAGE(6,6,6,6,6)</f>
        <v>6</v>
      </c>
      <c r="AT24" s="118"/>
      <c r="AU24" s="118"/>
    </row>
    <row r="25" spans="1:47" s="29" customFormat="1" ht="29.1">
      <c r="A25" s="39" t="s">
        <v>47</v>
      </c>
      <c r="B25" s="39" t="s">
        <v>48</v>
      </c>
      <c r="C25" s="40" t="s">
        <v>49</v>
      </c>
      <c r="D25" s="40" t="s">
        <v>50</v>
      </c>
      <c r="E25" s="40" t="s">
        <v>70</v>
      </c>
      <c r="F25" s="29" t="s">
        <v>74</v>
      </c>
      <c r="G25" s="29" t="s">
        <v>74</v>
      </c>
      <c r="H25" s="29">
        <v>4</v>
      </c>
      <c r="I25" s="41">
        <v>42562</v>
      </c>
      <c r="J25" s="28">
        <v>-3.4835295999999998</v>
      </c>
      <c r="K25" s="28">
        <v>29.554245000000002</v>
      </c>
      <c r="L25" s="28">
        <v>2279</v>
      </c>
      <c r="M25" s="29">
        <v>0</v>
      </c>
      <c r="N25" s="30" t="s">
        <v>64</v>
      </c>
      <c r="O25" s="29">
        <f>12*20</f>
        <v>240</v>
      </c>
      <c r="P25" s="29">
        <v>3</v>
      </c>
      <c r="Q25" s="29" t="s">
        <v>64</v>
      </c>
      <c r="R25" s="29" t="s">
        <v>56</v>
      </c>
      <c r="S25" s="29" t="s">
        <v>57</v>
      </c>
      <c r="T25" s="35">
        <v>0</v>
      </c>
      <c r="U25" s="36">
        <v>0</v>
      </c>
      <c r="V25" s="44">
        <v>0</v>
      </c>
      <c r="W25" s="40">
        <v>1</v>
      </c>
      <c r="X25" s="40">
        <f>3/10*100</f>
        <v>30</v>
      </c>
      <c r="Y25" s="40">
        <f>AVERAGE(2,2,16,0,0,0,0,0,0,0,0)</f>
        <v>1.8181818181818181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 t="s">
        <v>64</v>
      </c>
      <c r="AF25" s="29" t="s">
        <v>73</v>
      </c>
      <c r="AG25" s="29">
        <v>0</v>
      </c>
      <c r="AH25" s="29" t="s">
        <v>64</v>
      </c>
      <c r="AI25" s="29" t="s">
        <v>64</v>
      </c>
      <c r="AJ25" s="34"/>
      <c r="AK25" s="34"/>
      <c r="AL25" s="34"/>
      <c r="AM25" s="34"/>
      <c r="AN25" s="34"/>
      <c r="AO25" s="114"/>
      <c r="AP25" s="74">
        <v>1</v>
      </c>
      <c r="AQ25" s="74">
        <v>6</v>
      </c>
      <c r="AR25" s="74">
        <v>1</v>
      </c>
      <c r="AS25" s="110">
        <f>AVERAGE(3,3,3,2,2)</f>
        <v>2.6</v>
      </c>
      <c r="AT25" s="114"/>
      <c r="AU25" s="114"/>
    </row>
    <row r="26" spans="1:47" s="29" customFormat="1" ht="43.5">
      <c r="A26" s="39" t="s">
        <v>47</v>
      </c>
      <c r="B26" s="39" t="s">
        <v>48</v>
      </c>
      <c r="C26" s="40" t="s">
        <v>49</v>
      </c>
      <c r="D26" s="40" t="s">
        <v>50</v>
      </c>
      <c r="E26" s="40" t="s">
        <v>70</v>
      </c>
      <c r="F26" s="40" t="s">
        <v>74</v>
      </c>
      <c r="G26" s="40" t="s">
        <v>89</v>
      </c>
      <c r="H26" s="40">
        <v>27</v>
      </c>
      <c r="I26" s="3">
        <v>42566</v>
      </c>
      <c r="J26" s="42">
        <v>-3.4752900000000002</v>
      </c>
      <c r="K26" s="42">
        <v>29.54354</v>
      </c>
      <c r="L26" s="42">
        <v>2279</v>
      </c>
      <c r="M26" s="40" t="s">
        <v>64</v>
      </c>
      <c r="N26" s="40" t="s">
        <v>116</v>
      </c>
      <c r="O26" s="40">
        <f>13*14</f>
        <v>182</v>
      </c>
      <c r="P26" s="40">
        <v>2.5</v>
      </c>
      <c r="Q26" s="40" t="s">
        <v>82</v>
      </c>
      <c r="R26" s="40" t="s">
        <v>56</v>
      </c>
      <c r="S26" s="40" t="s">
        <v>57</v>
      </c>
      <c r="T26" s="47">
        <v>0</v>
      </c>
      <c r="U26" s="47">
        <v>0</v>
      </c>
      <c r="V26" s="48">
        <v>0</v>
      </c>
      <c r="W26" s="53">
        <v>1</v>
      </c>
      <c r="X26" s="53">
        <v>70</v>
      </c>
      <c r="Y26" s="79">
        <f>AVERAGE(10,7,6,0,0,24,13,13,6,0)</f>
        <v>7.9</v>
      </c>
      <c r="Z26" s="47">
        <v>0</v>
      </c>
      <c r="AA26" s="48">
        <v>0</v>
      </c>
      <c r="AB26" s="46" t="s">
        <v>58</v>
      </c>
      <c r="AC26" s="48">
        <v>0</v>
      </c>
      <c r="AD26" s="47">
        <v>0</v>
      </c>
      <c r="AE26" s="40" t="s">
        <v>76</v>
      </c>
      <c r="AF26" s="40" t="s">
        <v>117</v>
      </c>
      <c r="AG26" s="40">
        <v>0</v>
      </c>
      <c r="AH26" s="40" t="s">
        <v>61</v>
      </c>
      <c r="AI26" s="40" t="s">
        <v>61</v>
      </c>
      <c r="AJ26" s="47"/>
      <c r="AK26" s="47"/>
      <c r="AL26" s="47"/>
      <c r="AM26" s="47"/>
      <c r="AN26" s="47"/>
      <c r="AO26" s="116"/>
      <c r="AP26" s="76">
        <v>1</v>
      </c>
      <c r="AQ26" s="76">
        <f>AVERAGE(6,5,6,6,6)</f>
        <v>5.8</v>
      </c>
      <c r="AR26" s="76">
        <v>1</v>
      </c>
      <c r="AS26" s="112">
        <f>AVERAGE(7,7,7,7,7)</f>
        <v>7</v>
      </c>
      <c r="AT26" s="118"/>
      <c r="AU26" s="118"/>
    </row>
    <row r="27" spans="1:47" s="29" customFormat="1" ht="29.1">
      <c r="A27" s="42" t="s">
        <v>47</v>
      </c>
      <c r="B27" s="39" t="s">
        <v>48</v>
      </c>
      <c r="C27" s="47" t="s">
        <v>49</v>
      </c>
      <c r="D27" s="47" t="s">
        <v>50</v>
      </c>
      <c r="E27" s="40" t="s">
        <v>70</v>
      </c>
      <c r="F27" s="47" t="s">
        <v>101</v>
      </c>
      <c r="G27" s="47" t="s">
        <v>118</v>
      </c>
      <c r="H27" s="47">
        <v>37</v>
      </c>
      <c r="I27" s="85">
        <v>42569</v>
      </c>
      <c r="J27" s="31">
        <v>-3.4460676000000001</v>
      </c>
      <c r="K27" s="31">
        <v>29.5091839</v>
      </c>
      <c r="L27" s="31">
        <v>2283</v>
      </c>
      <c r="M27" s="31"/>
      <c r="N27" s="31" t="s">
        <v>119</v>
      </c>
      <c r="O27" s="31">
        <f>30*50</f>
        <v>1500</v>
      </c>
      <c r="P27" s="31">
        <v>3</v>
      </c>
      <c r="Q27" s="31" t="s">
        <v>82</v>
      </c>
      <c r="R27" s="47" t="s">
        <v>56</v>
      </c>
      <c r="S27" s="47" t="s">
        <v>57</v>
      </c>
      <c r="T27" s="31">
        <v>0</v>
      </c>
      <c r="U27" s="31">
        <v>0</v>
      </c>
      <c r="V27" s="32">
        <v>0</v>
      </c>
      <c r="W27" s="31">
        <v>1</v>
      </c>
      <c r="X27" s="31">
        <v>70</v>
      </c>
      <c r="Y27" s="32">
        <f>AVERAGE(0,0,2,5,0,30,15,2,36,7)</f>
        <v>9.6999999999999993</v>
      </c>
      <c r="Z27" s="31">
        <v>0</v>
      </c>
      <c r="AA27" s="32">
        <v>0</v>
      </c>
      <c r="AB27" s="33" t="s">
        <v>58</v>
      </c>
      <c r="AC27" s="32">
        <v>0</v>
      </c>
      <c r="AD27" s="31">
        <v>0</v>
      </c>
      <c r="AE27" s="31" t="s">
        <v>115</v>
      </c>
      <c r="AF27" s="31" t="s">
        <v>61</v>
      </c>
      <c r="AG27" s="31"/>
      <c r="AH27" s="31" t="s">
        <v>61</v>
      </c>
      <c r="AI27" s="31" t="s">
        <v>61</v>
      </c>
      <c r="AJ27" s="31"/>
      <c r="AK27" s="31"/>
      <c r="AL27" s="31"/>
      <c r="AM27" s="31"/>
      <c r="AN27" s="31"/>
      <c r="AO27" s="118"/>
      <c r="AP27" s="76">
        <v>1</v>
      </c>
      <c r="AQ27" s="76">
        <f>AVERAGE(6,7,1.16)</f>
        <v>4.72</v>
      </c>
      <c r="AR27" s="76">
        <v>1</v>
      </c>
      <c r="AS27" s="112">
        <f>AVERAGE(7,7,6,6,6)</f>
        <v>6.4</v>
      </c>
      <c r="AT27" s="118"/>
      <c r="AU27" s="118"/>
    </row>
    <row r="28" spans="1:47" s="29" customFormat="1" ht="29.1">
      <c r="A28" s="39" t="s">
        <v>47</v>
      </c>
      <c r="B28" s="39" t="s">
        <v>48</v>
      </c>
      <c r="C28" s="40" t="s">
        <v>49</v>
      </c>
      <c r="D28" s="40" t="s">
        <v>50</v>
      </c>
      <c r="E28" s="40" t="s">
        <v>94</v>
      </c>
      <c r="F28" s="40" t="s">
        <v>120</v>
      </c>
      <c r="G28" s="40" t="s">
        <v>121</v>
      </c>
      <c r="H28" s="40">
        <v>16</v>
      </c>
      <c r="I28" s="3">
        <v>42564</v>
      </c>
      <c r="J28" s="2">
        <v>-3.5734054999999998</v>
      </c>
      <c r="K28" s="2">
        <v>29.494871100000001</v>
      </c>
      <c r="L28" s="39">
        <v>2288</v>
      </c>
      <c r="M28" s="40">
        <v>71575526</v>
      </c>
      <c r="N28" s="40" t="s">
        <v>122</v>
      </c>
      <c r="O28" s="40">
        <f>13*17</f>
        <v>221</v>
      </c>
      <c r="P28" s="40">
        <v>3</v>
      </c>
      <c r="Q28" s="40" t="s">
        <v>83</v>
      </c>
      <c r="R28" s="1" t="s">
        <v>56</v>
      </c>
      <c r="S28" s="29" t="s">
        <v>57</v>
      </c>
      <c r="T28" s="42">
        <v>0</v>
      </c>
      <c r="U28" s="43">
        <v>0</v>
      </c>
      <c r="V28" s="44">
        <f>AVERAGE(0)</f>
        <v>0</v>
      </c>
      <c r="W28" s="52">
        <v>1</v>
      </c>
      <c r="X28" s="52">
        <v>10</v>
      </c>
      <c r="Y28" s="73">
        <f>AVERAGE(0,0,0,0,0,0,0,0,0,3)</f>
        <v>0.3</v>
      </c>
      <c r="Z28" s="42">
        <v>0</v>
      </c>
      <c r="AA28" s="45">
        <v>0</v>
      </c>
      <c r="AB28" s="46" t="s">
        <v>84</v>
      </c>
      <c r="AC28" s="44">
        <v>10</v>
      </c>
      <c r="AD28" s="44">
        <f>AVERAGE(2,0,0,0,0,0,0,0,0,0)</f>
        <v>0.2</v>
      </c>
      <c r="AE28" s="40" t="s">
        <v>64</v>
      </c>
      <c r="AF28" s="40" t="s">
        <v>61</v>
      </c>
      <c r="AG28" s="40">
        <v>0</v>
      </c>
      <c r="AH28" s="40" t="s">
        <v>64</v>
      </c>
      <c r="AI28" s="40" t="s">
        <v>64</v>
      </c>
      <c r="AJ28" s="44">
        <v>2.73</v>
      </c>
      <c r="AK28" s="44">
        <v>0</v>
      </c>
      <c r="AL28" s="44">
        <v>0</v>
      </c>
      <c r="AM28" s="44">
        <v>0</v>
      </c>
      <c r="AN28" s="44">
        <v>0</v>
      </c>
      <c r="AO28" s="116"/>
      <c r="AP28" s="76">
        <v>1</v>
      </c>
      <c r="AQ28" s="76">
        <f>AVERAGE(6,6,6,6,6)</f>
        <v>6</v>
      </c>
      <c r="AR28" s="76">
        <v>1</v>
      </c>
      <c r="AS28" s="112">
        <f>AVERAGE(5,5,2,4,5)</f>
        <v>4.2</v>
      </c>
      <c r="AT28" s="118"/>
      <c r="AU28" s="118"/>
    </row>
    <row r="29" spans="1:47" s="29" customFormat="1" ht="29.1">
      <c r="A29" s="42" t="s">
        <v>47</v>
      </c>
      <c r="B29" s="39" t="s">
        <v>48</v>
      </c>
      <c r="C29" s="47" t="s">
        <v>49</v>
      </c>
      <c r="D29" s="47" t="s">
        <v>50</v>
      </c>
      <c r="E29" s="40" t="s">
        <v>70</v>
      </c>
      <c r="F29" s="47" t="s">
        <v>101</v>
      </c>
      <c r="G29" s="47" t="s">
        <v>113</v>
      </c>
      <c r="H29" s="47">
        <v>35</v>
      </c>
      <c r="I29" s="85">
        <v>42569</v>
      </c>
      <c r="J29" s="31">
        <v>-3.4390627999999999</v>
      </c>
      <c r="K29" s="31">
        <v>29.5330753</v>
      </c>
      <c r="L29" s="31">
        <v>2297</v>
      </c>
      <c r="M29" s="31"/>
      <c r="N29" s="31" t="s">
        <v>123</v>
      </c>
      <c r="O29" s="31">
        <f>12*23</f>
        <v>276</v>
      </c>
      <c r="P29" s="31">
        <v>3</v>
      </c>
      <c r="Q29" s="31"/>
      <c r="R29" s="47" t="s">
        <v>56</v>
      </c>
      <c r="S29" s="47" t="s">
        <v>57</v>
      </c>
      <c r="T29" s="31">
        <v>0</v>
      </c>
      <c r="U29" s="31">
        <v>0</v>
      </c>
      <c r="V29" s="32">
        <v>0</v>
      </c>
      <c r="W29" s="31">
        <v>1</v>
      </c>
      <c r="X29" s="31">
        <v>40</v>
      </c>
      <c r="Y29" s="32">
        <f>AVERAGE(3,0,0,0,0,0,1,3,0,2)</f>
        <v>0.9</v>
      </c>
      <c r="Z29" s="31">
        <v>0</v>
      </c>
      <c r="AA29" s="32">
        <v>0</v>
      </c>
      <c r="AB29" s="33" t="s">
        <v>58</v>
      </c>
      <c r="AC29" s="32">
        <v>0</v>
      </c>
      <c r="AD29" s="31">
        <v>0</v>
      </c>
      <c r="AE29" s="9" t="s">
        <v>115</v>
      </c>
      <c r="AF29" s="31" t="s">
        <v>61</v>
      </c>
      <c r="AG29" s="31"/>
      <c r="AH29" s="31" t="s">
        <v>64</v>
      </c>
      <c r="AI29" s="31" t="s">
        <v>88</v>
      </c>
      <c r="AJ29" s="31"/>
      <c r="AK29" s="31"/>
      <c r="AL29" s="31"/>
      <c r="AM29" s="31"/>
      <c r="AN29" s="31"/>
      <c r="AO29" s="118"/>
      <c r="AP29" s="76">
        <v>1</v>
      </c>
      <c r="AQ29" s="76">
        <f>AVERAGE(1,1,6,1,1)</f>
        <v>2</v>
      </c>
      <c r="AR29" s="76">
        <v>1</v>
      </c>
      <c r="AS29" s="112">
        <f>AVERAGE(6,6,1,1,1)</f>
        <v>3</v>
      </c>
      <c r="AT29" s="118"/>
      <c r="AU29" s="118"/>
    </row>
    <row r="30" spans="1:47" s="29" customFormat="1" ht="29.1">
      <c r="A30" s="39" t="s">
        <v>47</v>
      </c>
      <c r="B30" s="39" t="s">
        <v>48</v>
      </c>
      <c r="C30" s="40" t="s">
        <v>49</v>
      </c>
      <c r="D30" s="40" t="s">
        <v>50</v>
      </c>
      <c r="E30" s="1" t="s">
        <v>94</v>
      </c>
      <c r="F30" s="1" t="s">
        <v>120</v>
      </c>
      <c r="G30" s="1" t="s">
        <v>120</v>
      </c>
      <c r="H30" s="1">
        <v>15</v>
      </c>
      <c r="I30" s="3">
        <v>42564</v>
      </c>
      <c r="J30" s="2">
        <v>-3.5776300000000001</v>
      </c>
      <c r="K30" s="2">
        <v>29.4974518</v>
      </c>
      <c r="L30" s="2">
        <v>2300</v>
      </c>
      <c r="M30" s="1" t="s">
        <v>64</v>
      </c>
      <c r="N30" s="1" t="s">
        <v>124</v>
      </c>
      <c r="O30" s="1">
        <f>10*75</f>
        <v>750</v>
      </c>
      <c r="P30" s="1">
        <v>2.5</v>
      </c>
      <c r="Q30" s="1" t="s">
        <v>82</v>
      </c>
      <c r="R30" s="1" t="s">
        <v>56</v>
      </c>
      <c r="S30" s="29" t="s">
        <v>57</v>
      </c>
      <c r="T30" s="6">
        <v>0</v>
      </c>
      <c r="U30" s="7">
        <v>0</v>
      </c>
      <c r="V30" s="44">
        <f>AVERAGE(0)</f>
        <v>0</v>
      </c>
      <c r="W30" s="56">
        <v>1</v>
      </c>
      <c r="X30" s="56">
        <v>20</v>
      </c>
      <c r="Y30" s="78">
        <f>AVERAGE(13,2,0,0,0,0,0,0,0,0)</f>
        <v>1.5</v>
      </c>
      <c r="Z30" s="6">
        <v>0</v>
      </c>
      <c r="AA30" s="12">
        <v>0</v>
      </c>
      <c r="AB30" s="10" t="s">
        <v>84</v>
      </c>
      <c r="AC30" s="8">
        <v>40</v>
      </c>
      <c r="AD30" s="8">
        <f>AVERAGE(2,2,2,2,0,0,0,0,0,0)</f>
        <v>0.8</v>
      </c>
      <c r="AE30" s="1" t="s">
        <v>76</v>
      </c>
      <c r="AF30" s="1" t="s">
        <v>61</v>
      </c>
      <c r="AG30" s="1">
        <v>0</v>
      </c>
      <c r="AH30" s="1" t="s">
        <v>64</v>
      </c>
      <c r="AI30" s="1" t="s">
        <v>125</v>
      </c>
      <c r="AJ30" s="8"/>
      <c r="AK30" s="8"/>
      <c r="AL30" s="8"/>
      <c r="AM30" s="8"/>
      <c r="AN30" s="8"/>
      <c r="AO30" s="119"/>
      <c r="AP30" s="76">
        <v>1</v>
      </c>
      <c r="AQ30" s="76">
        <f>AVERAGE(5,5,5,6,6)</f>
        <v>5.4</v>
      </c>
      <c r="AR30" s="76">
        <v>1</v>
      </c>
      <c r="AS30" s="112">
        <f>AVERAGE(3,2,3,2,3)</f>
        <v>2.6</v>
      </c>
      <c r="AT30" s="118"/>
      <c r="AU30" s="118"/>
    </row>
    <row r="31" spans="1:47" s="29" customFormat="1" ht="29.1">
      <c r="A31" s="39" t="s">
        <v>47</v>
      </c>
      <c r="B31" s="39" t="s">
        <v>48</v>
      </c>
      <c r="C31" s="40" t="s">
        <v>49</v>
      </c>
      <c r="D31" s="40" t="s">
        <v>50</v>
      </c>
      <c r="E31" s="40" t="s">
        <v>70</v>
      </c>
      <c r="F31" s="40" t="s">
        <v>74</v>
      </c>
      <c r="G31" s="40" t="s">
        <v>126</v>
      </c>
      <c r="H31" s="40">
        <v>26</v>
      </c>
      <c r="I31" s="3">
        <v>42566</v>
      </c>
      <c r="J31" s="42">
        <v>-3.4765100000000002</v>
      </c>
      <c r="K31" s="42">
        <v>29.549389999999999</v>
      </c>
      <c r="L31" s="42">
        <v>2312</v>
      </c>
      <c r="M31" s="40" t="s">
        <v>64</v>
      </c>
      <c r="N31" s="40" t="s">
        <v>127</v>
      </c>
      <c r="O31" s="40">
        <f>8*19</f>
        <v>152</v>
      </c>
      <c r="P31" s="40">
        <v>3.5</v>
      </c>
      <c r="Q31" s="40" t="s">
        <v>128</v>
      </c>
      <c r="R31" s="40" t="s">
        <v>56</v>
      </c>
      <c r="S31" s="40" t="s">
        <v>57</v>
      </c>
      <c r="T31" s="47">
        <v>0</v>
      </c>
      <c r="U31" s="47">
        <v>0</v>
      </c>
      <c r="V31" s="48">
        <v>0</v>
      </c>
      <c r="W31" s="53">
        <v>1</v>
      </c>
      <c r="X31" s="53">
        <v>100</v>
      </c>
      <c r="Y31" s="79">
        <f>AVERAGE(9,22,69,35,4,28,35,25,29,52)</f>
        <v>30.8</v>
      </c>
      <c r="Z31" s="47">
        <v>0</v>
      </c>
      <c r="AA31" s="48">
        <v>0</v>
      </c>
      <c r="AB31" s="46" t="s">
        <v>58</v>
      </c>
      <c r="AC31" s="48">
        <v>0</v>
      </c>
      <c r="AD31" s="47">
        <v>0</v>
      </c>
      <c r="AE31" s="40" t="s">
        <v>76</v>
      </c>
      <c r="AF31" s="40" t="s">
        <v>61</v>
      </c>
      <c r="AG31" s="40">
        <v>1</v>
      </c>
      <c r="AH31" s="40" t="s">
        <v>64</v>
      </c>
      <c r="AI31" s="40" t="s">
        <v>64</v>
      </c>
      <c r="AJ31" s="44"/>
      <c r="AK31" s="44"/>
      <c r="AL31" s="44"/>
      <c r="AM31" s="44"/>
      <c r="AN31" s="44"/>
      <c r="AO31" s="116"/>
      <c r="AP31" s="76">
        <v>1</v>
      </c>
      <c r="AQ31" s="76">
        <v>6</v>
      </c>
      <c r="AR31" s="76">
        <v>1</v>
      </c>
      <c r="AS31" s="112">
        <f>AVERAGE(6,6,6,5,5)</f>
        <v>5.6</v>
      </c>
      <c r="AT31" s="118"/>
      <c r="AU31" s="118"/>
    </row>
    <row r="32" spans="1:47" s="29" customFormat="1" ht="29.1">
      <c r="A32" s="39" t="s">
        <v>47</v>
      </c>
      <c r="B32" s="39" t="s">
        <v>48</v>
      </c>
      <c r="C32" s="40" t="s">
        <v>49</v>
      </c>
      <c r="D32" s="40" t="s">
        <v>50</v>
      </c>
      <c r="E32" s="40" t="s">
        <v>94</v>
      </c>
      <c r="F32" s="40" t="s">
        <v>120</v>
      </c>
      <c r="G32" s="40" t="s">
        <v>129</v>
      </c>
      <c r="H32" s="40">
        <v>18</v>
      </c>
      <c r="I32" s="3">
        <v>42564</v>
      </c>
      <c r="J32" s="39">
        <v>-3.5763493</v>
      </c>
      <c r="K32" s="39">
        <v>29.482854799999998</v>
      </c>
      <c r="L32" s="39">
        <v>2314</v>
      </c>
      <c r="M32" s="40" t="s">
        <v>64</v>
      </c>
      <c r="N32" s="40" t="s">
        <v>130</v>
      </c>
      <c r="O32" s="40">
        <f>15*15</f>
        <v>225</v>
      </c>
      <c r="P32" s="40">
        <v>2.5</v>
      </c>
      <c r="Q32" s="40" t="s">
        <v>82</v>
      </c>
      <c r="R32" s="1" t="s">
        <v>56</v>
      </c>
      <c r="S32" s="29" t="s">
        <v>57</v>
      </c>
      <c r="T32" s="42">
        <v>1</v>
      </c>
      <c r="U32" s="43">
        <v>20</v>
      </c>
      <c r="V32" s="44">
        <f>AVERAGE(5,5,0,0,0,0,0,0,0,0)</f>
        <v>1</v>
      </c>
      <c r="W32" s="52">
        <v>1</v>
      </c>
      <c r="X32" s="52">
        <v>50</v>
      </c>
      <c r="Y32" s="73">
        <f>AVERAGE(1,6,1,3,18,0,0,0,0,0)</f>
        <v>2.9</v>
      </c>
      <c r="Z32" s="42">
        <v>0</v>
      </c>
      <c r="AA32" s="45">
        <v>0</v>
      </c>
      <c r="AB32" s="46" t="s">
        <v>84</v>
      </c>
      <c r="AC32" s="44">
        <v>10</v>
      </c>
      <c r="AD32" s="44">
        <f>AVERAGE(2,0,0,0,0,0,0,0,0,0)</f>
        <v>0.2</v>
      </c>
      <c r="AE32" s="40" t="s">
        <v>131</v>
      </c>
      <c r="AF32" s="40" t="s">
        <v>73</v>
      </c>
      <c r="AG32" s="40">
        <v>0</v>
      </c>
      <c r="AH32" s="40" t="s">
        <v>64</v>
      </c>
      <c r="AI32" s="40" t="s">
        <v>125</v>
      </c>
      <c r="AJ32" s="44"/>
      <c r="AK32" s="44"/>
      <c r="AL32" s="44"/>
      <c r="AM32" s="44"/>
      <c r="AN32" s="44"/>
      <c r="AO32" s="116"/>
      <c r="AP32" s="76">
        <v>1</v>
      </c>
      <c r="AQ32" s="76">
        <f>AVERAGE(6,5,5,6,1)</f>
        <v>4.5999999999999996</v>
      </c>
      <c r="AR32" s="76">
        <v>1</v>
      </c>
      <c r="AS32" s="112">
        <f>AVERAGE(2,7,7,5,3)</f>
        <v>4.8</v>
      </c>
      <c r="AT32" s="118"/>
      <c r="AU32" s="118"/>
    </row>
    <row r="33" spans="1:47" s="29" customFormat="1" ht="29.1">
      <c r="A33" s="39" t="s">
        <v>47</v>
      </c>
      <c r="B33" s="39" t="s">
        <v>48</v>
      </c>
      <c r="C33" s="40" t="s">
        <v>49</v>
      </c>
      <c r="D33" s="40" t="s">
        <v>50</v>
      </c>
      <c r="E33" s="1" t="s">
        <v>94</v>
      </c>
      <c r="F33" s="1" t="s">
        <v>120</v>
      </c>
      <c r="G33" s="40" t="s">
        <v>120</v>
      </c>
      <c r="H33" s="1">
        <v>10</v>
      </c>
      <c r="I33" s="3">
        <v>42563</v>
      </c>
      <c r="J33" s="2">
        <v>-3.5741727000000001</v>
      </c>
      <c r="K33" s="2">
        <v>29.516736999999999</v>
      </c>
      <c r="L33" s="1">
        <v>2317</v>
      </c>
      <c r="M33" s="1">
        <v>71541994</v>
      </c>
      <c r="N33" s="1" t="s">
        <v>132</v>
      </c>
      <c r="O33" s="2">
        <f>21*7</f>
        <v>147</v>
      </c>
      <c r="P33" s="1">
        <v>4</v>
      </c>
      <c r="Q33" s="1" t="s">
        <v>133</v>
      </c>
      <c r="R33" s="1" t="s">
        <v>56</v>
      </c>
      <c r="S33" s="29" t="s">
        <v>57</v>
      </c>
      <c r="T33" s="6">
        <v>1</v>
      </c>
      <c r="U33" s="7">
        <f>1/10*100</f>
        <v>10</v>
      </c>
      <c r="V33" s="44">
        <f>AVERAGE(5,0,0,0,0,0,0,0,0,0,5)</f>
        <v>0.90909090909090906</v>
      </c>
      <c r="W33" s="56">
        <v>1</v>
      </c>
      <c r="X33" s="56">
        <v>30</v>
      </c>
      <c r="Y33" s="78">
        <f>AVERAGE(8,26,1,0,0,0,0,0,0,0)</f>
        <v>3.5</v>
      </c>
      <c r="Z33" s="6">
        <v>0</v>
      </c>
      <c r="AA33" s="12">
        <v>0</v>
      </c>
      <c r="AB33" s="10" t="s">
        <v>84</v>
      </c>
      <c r="AC33" s="8">
        <v>10</v>
      </c>
      <c r="AD33" s="8">
        <v>1</v>
      </c>
      <c r="AE33" s="1" t="s">
        <v>134</v>
      </c>
      <c r="AF33" s="1" t="s">
        <v>135</v>
      </c>
      <c r="AG33" s="1">
        <v>0</v>
      </c>
      <c r="AH33" s="1" t="s">
        <v>61</v>
      </c>
      <c r="AI33" s="1" t="s">
        <v>136</v>
      </c>
      <c r="AJ33" s="8"/>
      <c r="AK33" s="9"/>
      <c r="AL33" s="9"/>
      <c r="AM33" s="9"/>
      <c r="AN33" s="9"/>
      <c r="AO33" s="119"/>
      <c r="AP33" s="77">
        <v>1</v>
      </c>
      <c r="AQ33" s="77">
        <f>AVERAGE(5,1,6,5,5)</f>
        <v>4.4000000000000004</v>
      </c>
      <c r="AR33" s="77">
        <v>1</v>
      </c>
      <c r="AS33" s="111">
        <f>AVERAGE(2,3,2,3,2)</f>
        <v>2.4</v>
      </c>
      <c r="AT33" s="116"/>
      <c r="AU33" s="116"/>
    </row>
    <row r="34" spans="1:47" s="29" customFormat="1" ht="29.1">
      <c r="A34" s="39" t="s">
        <v>47</v>
      </c>
      <c r="B34" s="39" t="s">
        <v>48</v>
      </c>
      <c r="C34" s="40" t="s">
        <v>49</v>
      </c>
      <c r="D34" s="40" t="s">
        <v>50</v>
      </c>
      <c r="E34" s="1" t="s">
        <v>94</v>
      </c>
      <c r="F34" s="1" t="s">
        <v>120</v>
      </c>
      <c r="G34" s="1" t="s">
        <v>137</v>
      </c>
      <c r="H34" s="1">
        <v>11</v>
      </c>
      <c r="I34" s="3">
        <v>42563</v>
      </c>
      <c r="J34" s="2">
        <v>-3.5543925999999999</v>
      </c>
      <c r="K34" s="2">
        <v>29.5182705</v>
      </c>
      <c r="L34" s="2">
        <v>2323</v>
      </c>
      <c r="M34" s="1">
        <v>0</v>
      </c>
      <c r="N34" s="1" t="s">
        <v>138</v>
      </c>
      <c r="O34" s="1">
        <f>100*20</f>
        <v>2000</v>
      </c>
      <c r="P34" s="1">
        <v>2.5</v>
      </c>
      <c r="Q34" s="1" t="s">
        <v>82</v>
      </c>
      <c r="R34" s="1" t="s">
        <v>56</v>
      </c>
      <c r="S34" s="29" t="s">
        <v>57</v>
      </c>
      <c r="T34" s="6">
        <v>0</v>
      </c>
      <c r="U34" s="7">
        <v>0</v>
      </c>
      <c r="V34" s="44">
        <f>AVERAGE(0)</f>
        <v>0</v>
      </c>
      <c r="W34" s="56">
        <v>1</v>
      </c>
      <c r="X34" s="56">
        <v>100</v>
      </c>
      <c r="Y34" s="78">
        <f>AVERAGE(150,360,200,192,480,500,800,140,70)</f>
        <v>321.33333333333331</v>
      </c>
      <c r="Z34" s="6">
        <v>0</v>
      </c>
      <c r="AA34" s="12">
        <v>0</v>
      </c>
      <c r="AB34" s="10" t="s">
        <v>58</v>
      </c>
      <c r="AC34" s="8">
        <v>0</v>
      </c>
      <c r="AD34" s="8">
        <v>0</v>
      </c>
      <c r="AE34" s="1" t="s">
        <v>139</v>
      </c>
      <c r="AF34" s="1" t="s">
        <v>61</v>
      </c>
      <c r="AG34" s="1">
        <v>2</v>
      </c>
      <c r="AH34" s="1" t="s">
        <v>64</v>
      </c>
      <c r="AI34" s="1" t="s">
        <v>88</v>
      </c>
      <c r="AJ34" s="8"/>
      <c r="AK34" s="9"/>
      <c r="AL34" s="9"/>
      <c r="AM34" s="9"/>
      <c r="AN34" s="9"/>
      <c r="AO34" s="119"/>
      <c r="AP34" s="77">
        <v>1</v>
      </c>
      <c r="AQ34" s="77">
        <v>7</v>
      </c>
      <c r="AR34" s="77">
        <v>1</v>
      </c>
      <c r="AS34" s="111">
        <f>AVERAGE(5,5,6,6,3)</f>
        <v>5</v>
      </c>
      <c r="AT34" s="116"/>
      <c r="AU34" s="116"/>
    </row>
    <row r="35" spans="1:47" s="29" customFormat="1" ht="29.1">
      <c r="A35" s="39" t="s">
        <v>47</v>
      </c>
      <c r="B35" s="39" t="s">
        <v>48</v>
      </c>
      <c r="C35" s="40" t="s">
        <v>49</v>
      </c>
      <c r="D35" s="40" t="s">
        <v>50</v>
      </c>
      <c r="E35" s="1" t="s">
        <v>94</v>
      </c>
      <c r="F35" s="1" t="s">
        <v>120</v>
      </c>
      <c r="G35" s="1" t="s">
        <v>120</v>
      </c>
      <c r="H35" s="1">
        <v>14</v>
      </c>
      <c r="I35" s="3">
        <v>42564</v>
      </c>
      <c r="J35" s="2">
        <v>-3.5827179</v>
      </c>
      <c r="K35" s="2">
        <v>29.505691500000001</v>
      </c>
      <c r="L35" s="2">
        <v>2376</v>
      </c>
      <c r="M35" s="1">
        <v>7271214</v>
      </c>
      <c r="N35" s="1" t="s">
        <v>140</v>
      </c>
      <c r="O35" s="1">
        <f>39*7</f>
        <v>273</v>
      </c>
      <c r="P35" s="1">
        <v>2.5</v>
      </c>
      <c r="Q35" s="1" t="s">
        <v>82</v>
      </c>
      <c r="R35" s="1" t="s">
        <v>56</v>
      </c>
      <c r="S35" s="29" t="s">
        <v>57</v>
      </c>
      <c r="T35" s="6">
        <v>0</v>
      </c>
      <c r="U35" s="7">
        <v>0</v>
      </c>
      <c r="V35" s="44">
        <f>AVERAGE(0)</f>
        <v>0</v>
      </c>
      <c r="W35" s="56">
        <v>1</v>
      </c>
      <c r="X35" s="56">
        <v>70</v>
      </c>
      <c r="Y35" s="78">
        <f>AVERAGE(20,24,0,75,80,28,0,80,0,14)</f>
        <v>32.1</v>
      </c>
      <c r="Z35" s="6">
        <v>0</v>
      </c>
      <c r="AA35" s="12">
        <v>0</v>
      </c>
      <c r="AB35" s="10" t="s">
        <v>84</v>
      </c>
      <c r="AC35" s="8">
        <v>30</v>
      </c>
      <c r="AD35" s="8">
        <f>AVERAGE(2,2,2,0,0,0,0,0,0,0)</f>
        <v>0.6</v>
      </c>
      <c r="AE35" s="1" t="s">
        <v>76</v>
      </c>
      <c r="AF35" s="1" t="s">
        <v>85</v>
      </c>
      <c r="AG35" s="1">
        <v>1</v>
      </c>
      <c r="AH35" s="1" t="s">
        <v>61</v>
      </c>
      <c r="AI35" s="1" t="s">
        <v>61</v>
      </c>
      <c r="AJ35" s="8"/>
      <c r="AK35" s="9"/>
      <c r="AL35" s="9"/>
      <c r="AM35" s="9"/>
      <c r="AN35" s="9"/>
      <c r="AO35" s="119"/>
      <c r="AP35" s="77">
        <v>1</v>
      </c>
      <c r="AQ35" s="77">
        <f>AVERAGE(5,5,5,5,1)</f>
        <v>4.2</v>
      </c>
      <c r="AR35" s="77">
        <v>1</v>
      </c>
      <c r="AS35" s="111">
        <f>AVERAGE(3,4,3,2,2)</f>
        <v>2.8</v>
      </c>
      <c r="AT35" s="116"/>
      <c r="AU35" s="116"/>
    </row>
    <row r="36" spans="1:47" s="29" customFormat="1" ht="29.1">
      <c r="A36" s="39" t="s">
        <v>47</v>
      </c>
      <c r="B36" s="39" t="s">
        <v>48</v>
      </c>
      <c r="C36" s="40" t="s">
        <v>49</v>
      </c>
      <c r="D36" s="40" t="s">
        <v>50</v>
      </c>
      <c r="E36" s="40" t="s">
        <v>94</v>
      </c>
      <c r="F36" s="40" t="s">
        <v>120</v>
      </c>
      <c r="G36" s="40" t="s">
        <v>121</v>
      </c>
      <c r="H36" s="40">
        <v>17</v>
      </c>
      <c r="I36" s="3">
        <v>42564</v>
      </c>
      <c r="J36" s="2">
        <v>-3.5809829</v>
      </c>
      <c r="K36" s="2">
        <v>29.490873300000001</v>
      </c>
      <c r="L36" s="39">
        <v>2379</v>
      </c>
      <c r="M36" s="40" t="s">
        <v>64</v>
      </c>
      <c r="N36" s="40" t="s">
        <v>141</v>
      </c>
      <c r="O36" s="40">
        <f>35*26</f>
        <v>910</v>
      </c>
      <c r="P36" s="40">
        <v>2.5</v>
      </c>
      <c r="Q36" s="40" t="s">
        <v>82</v>
      </c>
      <c r="R36" s="1" t="s">
        <v>56</v>
      </c>
      <c r="S36" s="29" t="s">
        <v>57</v>
      </c>
      <c r="T36" s="42">
        <v>0</v>
      </c>
      <c r="U36" s="43">
        <v>0</v>
      </c>
      <c r="V36" s="44">
        <f>AVERAGE(0)</f>
        <v>0</v>
      </c>
      <c r="W36" s="52">
        <v>1</v>
      </c>
      <c r="X36" s="52">
        <v>100</v>
      </c>
      <c r="Y36" s="73">
        <f>AVERAGE(7,12,110,25,230,180,750,42,70,15)</f>
        <v>144.1</v>
      </c>
      <c r="Z36" s="42">
        <v>0</v>
      </c>
      <c r="AA36" s="45">
        <v>0</v>
      </c>
      <c r="AB36" s="46" t="s">
        <v>58</v>
      </c>
      <c r="AC36" s="44">
        <v>0</v>
      </c>
      <c r="AD36" s="42">
        <v>0</v>
      </c>
      <c r="AE36" s="40" t="s">
        <v>76</v>
      </c>
      <c r="AF36" s="40" t="s">
        <v>61</v>
      </c>
      <c r="AG36" s="40">
        <v>0</v>
      </c>
      <c r="AH36" s="40" t="s">
        <v>64</v>
      </c>
      <c r="AI36" s="40" t="s">
        <v>125</v>
      </c>
      <c r="AJ36" s="42"/>
      <c r="AK36" s="47"/>
      <c r="AL36" s="47"/>
      <c r="AM36" s="47"/>
      <c r="AN36" s="47"/>
      <c r="AO36" s="116"/>
      <c r="AP36" s="76">
        <v>1</v>
      </c>
      <c r="AQ36" s="76">
        <f>AVERAGE(5,5,1,1,1)</f>
        <v>2.6</v>
      </c>
      <c r="AR36" s="76">
        <v>1</v>
      </c>
      <c r="AS36" s="112">
        <f>AVERAGE(6,6,5,5,5)</f>
        <v>5.4</v>
      </c>
      <c r="AT36" s="118"/>
      <c r="AU36" s="118"/>
    </row>
    <row r="37" spans="1:47" s="29" customFormat="1" ht="29.1">
      <c r="A37" s="39" t="s">
        <v>47</v>
      </c>
      <c r="B37" s="39" t="s">
        <v>48</v>
      </c>
      <c r="C37" s="40" t="s">
        <v>49</v>
      </c>
      <c r="D37" s="40" t="s">
        <v>50</v>
      </c>
      <c r="E37" s="1" t="s">
        <v>94</v>
      </c>
      <c r="F37" s="1" t="s">
        <v>120</v>
      </c>
      <c r="G37" s="1" t="s">
        <v>120</v>
      </c>
      <c r="H37" s="1">
        <v>13</v>
      </c>
      <c r="I37" s="3">
        <v>42564</v>
      </c>
      <c r="J37" s="2">
        <v>-3.5767821999999998</v>
      </c>
      <c r="K37" s="2">
        <v>29.508844400000001</v>
      </c>
      <c r="L37" s="2">
        <v>2381</v>
      </c>
      <c r="M37" s="1" t="s">
        <v>64</v>
      </c>
      <c r="N37" s="1" t="s">
        <v>142</v>
      </c>
      <c r="O37" s="1">
        <f>8*10</f>
        <v>80</v>
      </c>
      <c r="P37" s="1">
        <v>3</v>
      </c>
      <c r="Q37" s="1" t="s">
        <v>83</v>
      </c>
      <c r="R37" s="1" t="s">
        <v>56</v>
      </c>
      <c r="S37" s="29" t="s">
        <v>57</v>
      </c>
      <c r="T37" s="6">
        <v>1</v>
      </c>
      <c r="U37" s="9">
        <f>2/10*100</f>
        <v>20</v>
      </c>
      <c r="V37" s="44">
        <f>AVERAGE(5,5,0,0,0,0,0,0,0,0)</f>
        <v>1</v>
      </c>
      <c r="W37" s="56">
        <v>1</v>
      </c>
      <c r="X37" s="56">
        <v>80</v>
      </c>
      <c r="Y37" s="78">
        <f>AVERAGE(16,78,23,8,17,17,0,3,0,2)</f>
        <v>16.399999999999999</v>
      </c>
      <c r="Z37" s="6">
        <v>0</v>
      </c>
      <c r="AA37" s="12">
        <v>0</v>
      </c>
      <c r="AB37" s="10" t="s">
        <v>84</v>
      </c>
      <c r="AC37" s="8">
        <v>10</v>
      </c>
      <c r="AD37" s="8">
        <v>1</v>
      </c>
      <c r="AE37" s="1" t="s">
        <v>115</v>
      </c>
      <c r="AF37" s="1" t="s">
        <v>61</v>
      </c>
      <c r="AG37" s="1">
        <v>0</v>
      </c>
      <c r="AH37" s="1" t="s">
        <v>64</v>
      </c>
      <c r="AI37" s="1" t="s">
        <v>64</v>
      </c>
      <c r="AJ37" s="8">
        <v>4.33</v>
      </c>
      <c r="AK37" s="8">
        <v>0</v>
      </c>
      <c r="AL37" s="8">
        <v>0</v>
      </c>
      <c r="AM37" s="8">
        <v>0</v>
      </c>
      <c r="AN37" s="8">
        <v>0</v>
      </c>
      <c r="AO37" s="119"/>
      <c r="AP37" s="77">
        <v>1</v>
      </c>
      <c r="AQ37" s="77">
        <f>AVERAGE(6,5,1,5,5)</f>
        <v>4.4000000000000004</v>
      </c>
      <c r="AR37" s="77">
        <v>1</v>
      </c>
      <c r="AS37" s="111">
        <f>AVERAGE(6,5,6,6,6)</f>
        <v>5.8</v>
      </c>
      <c r="AT37" s="116"/>
      <c r="AU37" s="116"/>
    </row>
    <row r="38" spans="1:47" s="29" customFormat="1" ht="29.1">
      <c r="A38" s="42" t="s">
        <v>47</v>
      </c>
      <c r="B38" s="39" t="s">
        <v>48</v>
      </c>
      <c r="C38" s="47" t="s">
        <v>49</v>
      </c>
      <c r="D38" s="47" t="s">
        <v>50</v>
      </c>
      <c r="E38" s="40" t="s">
        <v>70</v>
      </c>
      <c r="F38" s="47" t="s">
        <v>101</v>
      </c>
      <c r="G38" s="47" t="s">
        <v>113</v>
      </c>
      <c r="H38" s="47">
        <v>36</v>
      </c>
      <c r="I38" s="85">
        <v>42569</v>
      </c>
      <c r="J38" s="31">
        <v>-3.4327443</v>
      </c>
      <c r="K38" s="31">
        <v>29.5237312</v>
      </c>
      <c r="L38" s="31">
        <v>2398</v>
      </c>
      <c r="M38" s="31"/>
      <c r="N38" s="31" t="s">
        <v>143</v>
      </c>
      <c r="O38" s="31">
        <f>20*20</f>
        <v>400</v>
      </c>
      <c r="P38" s="31">
        <v>3</v>
      </c>
      <c r="Q38" s="31" t="s">
        <v>82</v>
      </c>
      <c r="R38" s="47" t="s">
        <v>56</v>
      </c>
      <c r="S38" s="47" t="s">
        <v>57</v>
      </c>
      <c r="T38" s="31">
        <v>0</v>
      </c>
      <c r="U38" s="31">
        <v>0</v>
      </c>
      <c r="V38" s="32">
        <v>0</v>
      </c>
      <c r="W38" s="31">
        <v>1</v>
      </c>
      <c r="X38" s="31">
        <v>100</v>
      </c>
      <c r="Y38" s="32">
        <f>AVERAGE(26,150,31,28,49,42,120,16,34,43)</f>
        <v>53.9</v>
      </c>
      <c r="Z38" s="31">
        <v>0</v>
      </c>
      <c r="AA38" s="32">
        <v>0</v>
      </c>
      <c r="AB38" s="33" t="s">
        <v>58</v>
      </c>
      <c r="AC38" s="32">
        <v>0</v>
      </c>
      <c r="AD38" s="31">
        <v>0</v>
      </c>
      <c r="AE38" s="31" t="s">
        <v>76</v>
      </c>
      <c r="AF38" s="31" t="s">
        <v>61</v>
      </c>
      <c r="AG38" s="31"/>
      <c r="AH38" s="31" t="s">
        <v>61</v>
      </c>
      <c r="AI38" s="31" t="s">
        <v>61</v>
      </c>
      <c r="AJ38" s="34"/>
      <c r="AK38" s="34"/>
      <c r="AL38" s="34"/>
      <c r="AM38" s="34"/>
      <c r="AN38" s="34"/>
      <c r="AO38" s="118"/>
      <c r="AP38" s="76">
        <v>1</v>
      </c>
      <c r="AQ38" s="76">
        <f>AVERAGE(6,1,6,6,1)</f>
        <v>4</v>
      </c>
      <c r="AR38" s="76">
        <v>1</v>
      </c>
      <c r="AS38" s="112">
        <f>AVERAGE(6,7,7,7,6)</f>
        <v>6.6</v>
      </c>
      <c r="AT38" s="118"/>
      <c r="AU38" s="118"/>
    </row>
    <row r="39" spans="1:47" s="29" customFormat="1" ht="43.5">
      <c r="A39" s="1" t="s">
        <v>47</v>
      </c>
      <c r="B39" s="1" t="s">
        <v>144</v>
      </c>
      <c r="C39" s="1" t="s">
        <v>49</v>
      </c>
      <c r="D39" s="1" t="s">
        <v>145</v>
      </c>
      <c r="E39" s="1" t="s">
        <v>146</v>
      </c>
      <c r="F39" s="1" t="s">
        <v>147</v>
      </c>
      <c r="G39" s="1" t="s">
        <v>148</v>
      </c>
      <c r="H39" s="1">
        <v>32</v>
      </c>
      <c r="I39" s="3">
        <v>43088</v>
      </c>
      <c r="J39" s="1">
        <v>-3.1777299999999999</v>
      </c>
      <c r="K39" s="1">
        <v>29.513938</v>
      </c>
      <c r="L39" s="1">
        <v>1710</v>
      </c>
      <c r="M39" s="1">
        <v>71872057</v>
      </c>
      <c r="N39" s="1" t="s">
        <v>149</v>
      </c>
      <c r="O39" s="88">
        <f>13*8</f>
        <v>104</v>
      </c>
      <c r="P39" s="1">
        <v>1.5</v>
      </c>
      <c r="Q39" s="1" t="s">
        <v>150</v>
      </c>
      <c r="R39" s="1" t="s">
        <v>56</v>
      </c>
      <c r="S39" s="1" t="s">
        <v>151</v>
      </c>
      <c r="T39" s="9">
        <v>0</v>
      </c>
      <c r="U39" s="9" t="s">
        <v>64</v>
      </c>
      <c r="V39" s="94" t="s">
        <v>64</v>
      </c>
      <c r="W39" s="57">
        <v>1</v>
      </c>
      <c r="X39" s="57">
        <f>19/20*100</f>
        <v>95</v>
      </c>
      <c r="Y39" s="104">
        <f>AVERAGE(47,5,10,0,20,34,11,67,25,45,42,81,48,35,50,65,38,18,25,13)</f>
        <v>33.950000000000003</v>
      </c>
      <c r="Z39" s="9">
        <v>1</v>
      </c>
      <c r="AA39" s="9">
        <f>AVERAGE(1,0,0,0,0,0,0,0,0,0,0,0,0,0,0,0,0,0,0,0)</f>
        <v>0.05</v>
      </c>
      <c r="AB39" s="10" t="s">
        <v>58</v>
      </c>
      <c r="AC39" s="11" t="s">
        <v>64</v>
      </c>
      <c r="AD39" s="9" t="s">
        <v>64</v>
      </c>
      <c r="AE39" s="1" t="s">
        <v>152</v>
      </c>
      <c r="AF39" s="1" t="s">
        <v>61</v>
      </c>
      <c r="AG39" s="1">
        <v>0</v>
      </c>
      <c r="AH39" s="1" t="s">
        <v>61</v>
      </c>
      <c r="AI39" s="1" t="s">
        <v>61</v>
      </c>
      <c r="AJ39" s="9"/>
      <c r="AK39" s="9"/>
      <c r="AL39" s="9"/>
      <c r="AM39" s="9"/>
      <c r="AN39" s="9"/>
      <c r="AO39" s="1"/>
      <c r="AP39" s="117">
        <v>1</v>
      </c>
      <c r="AQ39" s="117">
        <v>3</v>
      </c>
      <c r="AR39" s="117">
        <v>1</v>
      </c>
      <c r="AS39" s="122">
        <v>5</v>
      </c>
      <c r="AT39" s="1">
        <v>1</v>
      </c>
      <c r="AU39" s="1">
        <f>AVERAGE(3,3,3,2,2,2,3,2,2,2,2,2,2,2,2,2,2,2,2,2)/5*100</f>
        <v>44.000000000000007</v>
      </c>
    </row>
    <row r="40" spans="1:47" s="29" customFormat="1" ht="43.5">
      <c r="A40" s="1" t="s">
        <v>47</v>
      </c>
      <c r="B40" s="1" t="s">
        <v>144</v>
      </c>
      <c r="C40" s="1" t="s">
        <v>49</v>
      </c>
      <c r="D40" s="1" t="s">
        <v>145</v>
      </c>
      <c r="E40" s="1" t="s">
        <v>146</v>
      </c>
      <c r="F40" s="1" t="s">
        <v>153</v>
      </c>
      <c r="G40" s="1" t="s">
        <v>148</v>
      </c>
      <c r="H40" s="1">
        <v>33</v>
      </c>
      <c r="I40" s="3">
        <v>43088</v>
      </c>
      <c r="J40" s="1">
        <v>-3.1822650000000001</v>
      </c>
      <c r="K40" s="1">
        <v>29.516575</v>
      </c>
      <c r="L40" s="1">
        <v>1796</v>
      </c>
      <c r="M40" s="1" t="s">
        <v>64</v>
      </c>
      <c r="N40" s="1" t="s">
        <v>154</v>
      </c>
      <c r="O40" s="88">
        <f>12*10</f>
        <v>120</v>
      </c>
      <c r="P40" s="1">
        <v>1.5</v>
      </c>
      <c r="Q40" s="1" t="s">
        <v>55</v>
      </c>
      <c r="R40" s="1" t="s">
        <v>56</v>
      </c>
      <c r="S40" s="1" t="s">
        <v>57</v>
      </c>
      <c r="T40" s="9">
        <v>0</v>
      </c>
      <c r="U40" s="9" t="s">
        <v>64</v>
      </c>
      <c r="V40" s="94" t="s">
        <v>64</v>
      </c>
      <c r="W40" s="57">
        <v>1</v>
      </c>
      <c r="X40" s="57">
        <f>2/20*100</f>
        <v>10</v>
      </c>
      <c r="Y40" s="104">
        <f>AVERAGE(3,21,0,0,0,0,0,0,0,0,0,0,0,0,0,0,0,0,0,0)</f>
        <v>1.2</v>
      </c>
      <c r="Z40" s="9">
        <v>1</v>
      </c>
      <c r="AA40" s="9">
        <f>AVERAGE(1,2,0,0,0,0,0,0,0,0,0,0,0,0,0,0,0,0,0,0)</f>
        <v>0.15</v>
      </c>
      <c r="AB40" s="10" t="s">
        <v>58</v>
      </c>
      <c r="AC40" s="11" t="s">
        <v>64</v>
      </c>
      <c r="AD40" s="9" t="s">
        <v>64</v>
      </c>
      <c r="AE40" s="1" t="s">
        <v>155</v>
      </c>
      <c r="AF40" s="1" t="s">
        <v>156</v>
      </c>
      <c r="AG40" s="1">
        <v>1</v>
      </c>
      <c r="AH40" s="1" t="s">
        <v>61</v>
      </c>
      <c r="AI40" s="1" t="s">
        <v>61</v>
      </c>
      <c r="AJ40" s="9"/>
      <c r="AK40" s="9"/>
      <c r="AL40" s="9"/>
      <c r="AM40" s="9"/>
      <c r="AN40" s="9"/>
      <c r="AO40" s="1"/>
      <c r="AP40" s="117">
        <v>1</v>
      </c>
      <c r="AQ40" s="117">
        <v>4</v>
      </c>
      <c r="AR40" s="117">
        <v>1</v>
      </c>
      <c r="AS40" s="122">
        <v>5</v>
      </c>
      <c r="AT40" s="1">
        <v>1</v>
      </c>
      <c r="AU40" s="1">
        <f>AVERAGE(2,2,2,2,2,2,2,1,1,1,1,1,1,1,1,1,1,1,1,1)/5*100</f>
        <v>27</v>
      </c>
    </row>
    <row r="41" spans="1:47" s="29" customFormat="1">
      <c r="A41" s="1" t="s">
        <v>47</v>
      </c>
      <c r="B41" s="1" t="s">
        <v>144</v>
      </c>
      <c r="C41" s="1" t="s">
        <v>49</v>
      </c>
      <c r="D41" s="1" t="s">
        <v>145</v>
      </c>
      <c r="E41" s="1" t="s">
        <v>146</v>
      </c>
      <c r="F41" s="1" t="s">
        <v>153</v>
      </c>
      <c r="G41" s="1" t="s">
        <v>148</v>
      </c>
      <c r="H41" s="1">
        <v>34</v>
      </c>
      <c r="I41" s="3">
        <v>43088</v>
      </c>
      <c r="J41" s="1">
        <v>-3.1861079999999999</v>
      </c>
      <c r="K41" s="1">
        <v>29.513819999999999</v>
      </c>
      <c r="L41" s="1">
        <v>1806</v>
      </c>
      <c r="M41" s="1" t="s">
        <v>64</v>
      </c>
      <c r="N41" s="1" t="s">
        <v>157</v>
      </c>
      <c r="O41" s="88">
        <f>19*8</f>
        <v>152</v>
      </c>
      <c r="P41" s="1">
        <v>2.5</v>
      </c>
      <c r="Q41" s="1" t="s">
        <v>150</v>
      </c>
      <c r="R41" s="1" t="s">
        <v>56</v>
      </c>
      <c r="S41" s="1" t="s">
        <v>158</v>
      </c>
      <c r="T41" s="9">
        <v>0</v>
      </c>
      <c r="U41" s="9" t="s">
        <v>64</v>
      </c>
      <c r="V41" s="94" t="s">
        <v>64</v>
      </c>
      <c r="W41" s="57">
        <v>1</v>
      </c>
      <c r="X41" s="57">
        <v>100</v>
      </c>
      <c r="Y41" s="104">
        <f>AVERAGE(6,12,9,67,5,15,3,27,7,13,1,25,30,46,50,63,26,75,83,27)</f>
        <v>29.5</v>
      </c>
      <c r="Z41" s="9">
        <v>0</v>
      </c>
      <c r="AA41" s="9" t="s">
        <v>64</v>
      </c>
      <c r="AB41" s="10" t="s">
        <v>84</v>
      </c>
      <c r="AC41" s="11">
        <f>1/20*100</f>
        <v>5</v>
      </c>
      <c r="AD41" s="9">
        <f>AVERAGE(1,0,0,0,0,0,0,0,0,0,0,0,0,0,0,0,0,0,0,0)</f>
        <v>0.05</v>
      </c>
      <c r="AE41" s="1" t="s">
        <v>159</v>
      </c>
      <c r="AF41" s="1" t="s">
        <v>160</v>
      </c>
      <c r="AG41" s="1">
        <v>2</v>
      </c>
      <c r="AH41" s="1" t="s">
        <v>61</v>
      </c>
      <c r="AI41" s="1" t="s">
        <v>161</v>
      </c>
      <c r="AJ41" s="9"/>
      <c r="AK41" s="9"/>
      <c r="AL41" s="9"/>
      <c r="AM41" s="9"/>
      <c r="AN41" s="9"/>
      <c r="AO41" s="1"/>
      <c r="AP41" s="117">
        <v>1</v>
      </c>
      <c r="AQ41" s="117">
        <v>5</v>
      </c>
      <c r="AR41" s="117">
        <v>1</v>
      </c>
      <c r="AS41" s="122">
        <v>4</v>
      </c>
      <c r="AT41" s="1">
        <v>1</v>
      </c>
      <c r="AU41" s="1">
        <f>AVERAGE(3,2,2,2,2,2,2,2,2,2,2,2,2,2,2,2,2,2,2,2)/5*100</f>
        <v>41</v>
      </c>
    </row>
    <row r="42" spans="1:47" s="29" customFormat="1">
      <c r="A42" s="1" t="s">
        <v>47</v>
      </c>
      <c r="B42" s="1" t="s">
        <v>144</v>
      </c>
      <c r="C42" s="1" t="s">
        <v>49</v>
      </c>
      <c r="D42" s="1" t="s">
        <v>145</v>
      </c>
      <c r="E42" s="1" t="s">
        <v>162</v>
      </c>
      <c r="F42" s="1" t="s">
        <v>163</v>
      </c>
      <c r="G42" s="1" t="s">
        <v>164</v>
      </c>
      <c r="H42" s="1">
        <v>35</v>
      </c>
      <c r="I42" s="3">
        <v>43088</v>
      </c>
      <c r="J42" s="1">
        <v>-3.1307330000000002</v>
      </c>
      <c r="K42" s="1">
        <v>29.515284999999999</v>
      </c>
      <c r="L42" s="1">
        <v>1854</v>
      </c>
      <c r="M42" s="1" t="s">
        <v>64</v>
      </c>
      <c r="N42" s="1" t="s">
        <v>165</v>
      </c>
      <c r="O42" s="88">
        <f>22*16</f>
        <v>352</v>
      </c>
      <c r="P42" s="1">
        <v>2</v>
      </c>
      <c r="Q42" s="1" t="s">
        <v>150</v>
      </c>
      <c r="R42" s="1" t="s">
        <v>56</v>
      </c>
      <c r="S42" s="1" t="s">
        <v>166</v>
      </c>
      <c r="T42" s="9">
        <v>0</v>
      </c>
      <c r="U42" s="9" t="s">
        <v>64</v>
      </c>
      <c r="V42" s="94" t="s">
        <v>64</v>
      </c>
      <c r="W42" s="57">
        <v>1</v>
      </c>
      <c r="X42" s="57">
        <f>17/20*100</f>
        <v>85</v>
      </c>
      <c r="Y42" s="104">
        <f>AVERAGE(15,43,12,3,3,64,0,0,23,18,1,15,43,10,6,35,20,1,0,1)</f>
        <v>15.65</v>
      </c>
      <c r="Z42" s="9">
        <v>1</v>
      </c>
      <c r="AA42" s="9">
        <f>AVERAGE(1,0,0,0,0,0,0,0,0,0,0,0,0,0,0,0,0,0,0,0)</f>
        <v>0.05</v>
      </c>
      <c r="AB42" s="10" t="s">
        <v>84</v>
      </c>
      <c r="AC42" s="11">
        <f>1/20*100</f>
        <v>5</v>
      </c>
      <c r="AD42" s="9">
        <f>AVERAGE(1,0,0,0,0,0,0,0,0,0,0,0,0,0,0,0,0,0,0,0)</f>
        <v>0.05</v>
      </c>
      <c r="AE42" s="1" t="s">
        <v>152</v>
      </c>
      <c r="AF42" s="1" t="s">
        <v>167</v>
      </c>
      <c r="AG42" s="1">
        <v>1</v>
      </c>
      <c r="AH42" s="1" t="s">
        <v>61</v>
      </c>
      <c r="AI42" s="1" t="s">
        <v>168</v>
      </c>
      <c r="AJ42" s="9"/>
      <c r="AK42" s="9"/>
      <c r="AL42" s="9"/>
      <c r="AM42" s="9"/>
      <c r="AN42" s="9"/>
      <c r="AO42" s="1"/>
      <c r="AP42" s="117">
        <v>1</v>
      </c>
      <c r="AQ42" s="117">
        <v>4</v>
      </c>
      <c r="AR42" s="117">
        <v>1</v>
      </c>
      <c r="AS42" s="122">
        <v>4</v>
      </c>
      <c r="AT42" s="1">
        <v>1</v>
      </c>
      <c r="AU42" s="1">
        <f>AVERAGE(2,2,2,2,2,2,2,2,1,1,1,1,1,1,1,1,1,1,1,1)/5*100</f>
        <v>27.999999999999996</v>
      </c>
    </row>
    <row r="43" spans="1:47" s="29" customFormat="1" ht="57.95">
      <c r="A43" s="1" t="s">
        <v>47</v>
      </c>
      <c r="B43" s="1" t="s">
        <v>144</v>
      </c>
      <c r="C43" s="1" t="s">
        <v>49</v>
      </c>
      <c r="D43" s="1" t="s">
        <v>78</v>
      </c>
      <c r="E43" s="1" t="s">
        <v>78</v>
      </c>
      <c r="F43" s="1" t="s">
        <v>169</v>
      </c>
      <c r="G43" s="1" t="s">
        <v>170</v>
      </c>
      <c r="H43" s="1">
        <v>29</v>
      </c>
      <c r="I43" s="3">
        <v>43087</v>
      </c>
      <c r="J43" s="1">
        <v>-3.3310091000000002</v>
      </c>
      <c r="K43" s="1">
        <v>29.581886999999998</v>
      </c>
      <c r="L43" s="1">
        <v>1909</v>
      </c>
      <c r="M43" s="1" t="s">
        <v>64</v>
      </c>
      <c r="N43" s="1" t="s">
        <v>171</v>
      </c>
      <c r="O43" s="88">
        <f>12*30</f>
        <v>360</v>
      </c>
      <c r="P43" s="1">
        <v>2.5</v>
      </c>
      <c r="Q43" s="1" t="s">
        <v>128</v>
      </c>
      <c r="R43" s="1" t="s">
        <v>56</v>
      </c>
      <c r="S43" s="1" t="s">
        <v>57</v>
      </c>
      <c r="T43" s="9">
        <v>0</v>
      </c>
      <c r="U43" s="9" t="s">
        <v>64</v>
      </c>
      <c r="V43" s="94" t="s">
        <v>64</v>
      </c>
      <c r="W43" s="57">
        <v>1</v>
      </c>
      <c r="X43" s="57">
        <f>2/20*100</f>
        <v>10</v>
      </c>
      <c r="Y43" s="104">
        <f>AVERAGE(1,1,0,0,0,0,0,0,0,0,0,0,0,0,0,0,0,0,0,0)</f>
        <v>0.1</v>
      </c>
      <c r="Z43" s="9">
        <v>1</v>
      </c>
      <c r="AA43" s="9">
        <f>AVERAGE(6,2,0,0,0,0,0,0,1,1,0,0,0,0,0,0,0,0,0,0)</f>
        <v>0.5</v>
      </c>
      <c r="AB43" s="10" t="s">
        <v>58</v>
      </c>
      <c r="AC43" s="11" t="s">
        <v>64</v>
      </c>
      <c r="AD43" s="9" t="s">
        <v>64</v>
      </c>
      <c r="AE43" s="1" t="s">
        <v>172</v>
      </c>
      <c r="AF43" s="1" t="s">
        <v>173</v>
      </c>
      <c r="AG43" s="1">
        <v>0</v>
      </c>
      <c r="AH43" s="1" t="s">
        <v>61</v>
      </c>
      <c r="AI43" s="1" t="s">
        <v>61</v>
      </c>
      <c r="AJ43" s="9"/>
      <c r="AK43" s="9"/>
      <c r="AL43" s="9"/>
      <c r="AM43" s="9"/>
      <c r="AN43" s="9"/>
      <c r="AO43" s="1"/>
      <c r="AP43" s="117">
        <v>1</v>
      </c>
      <c r="AQ43" s="117">
        <v>4</v>
      </c>
      <c r="AR43" s="117">
        <v>1</v>
      </c>
      <c r="AS43" s="122">
        <v>4</v>
      </c>
      <c r="AT43" s="1">
        <v>1</v>
      </c>
      <c r="AU43" s="1">
        <f>AVERAGE(2)/5*100</f>
        <v>40</v>
      </c>
    </row>
    <row r="44" spans="1:47" ht="29.1">
      <c r="A44" s="1" t="s">
        <v>47</v>
      </c>
      <c r="B44" s="1" t="s">
        <v>144</v>
      </c>
      <c r="C44" s="1" t="s">
        <v>49</v>
      </c>
      <c r="D44" s="1" t="s">
        <v>174</v>
      </c>
      <c r="E44" s="1" t="s">
        <v>51</v>
      </c>
      <c r="F44" s="1" t="s">
        <v>175</v>
      </c>
      <c r="G44" s="1" t="s">
        <v>176</v>
      </c>
      <c r="H44" s="1">
        <v>19</v>
      </c>
      <c r="I44" s="3">
        <v>43085</v>
      </c>
      <c r="J44" s="1">
        <v>-3.3449125</v>
      </c>
      <c r="K44" s="1">
        <v>29.488437000000001</v>
      </c>
      <c r="L44" s="1">
        <v>1949</v>
      </c>
      <c r="M44" s="1">
        <v>79839612</v>
      </c>
      <c r="N44" s="1" t="s">
        <v>177</v>
      </c>
      <c r="O44" s="88">
        <f>10*60</f>
        <v>600</v>
      </c>
      <c r="P44" s="1">
        <v>2</v>
      </c>
      <c r="Q44" s="1" t="s">
        <v>150</v>
      </c>
      <c r="R44" s="1" t="s">
        <v>56</v>
      </c>
      <c r="S44" s="1" t="s">
        <v>57</v>
      </c>
      <c r="T44" s="9">
        <v>0</v>
      </c>
      <c r="U44" s="9" t="s">
        <v>64</v>
      </c>
      <c r="V44" s="94" t="s">
        <v>64</v>
      </c>
      <c r="W44" s="57">
        <v>1</v>
      </c>
      <c r="X44" s="57">
        <f>4/20*100</f>
        <v>20</v>
      </c>
      <c r="Y44" s="104">
        <f>AVERAGE(1,3,1,1,0,0,0,0,0,0)</f>
        <v>0.6</v>
      </c>
      <c r="Z44" s="9">
        <v>1</v>
      </c>
      <c r="AA44" s="9">
        <f>AVERAGE(4,3,5,4,1,8,3,0,0,0,0,0,0,0,0,0,0,0,0,0)</f>
        <v>1.4</v>
      </c>
      <c r="AB44" s="10" t="s">
        <v>58</v>
      </c>
      <c r="AC44" s="11" t="s">
        <v>64</v>
      </c>
      <c r="AD44" s="9" t="s">
        <v>64</v>
      </c>
      <c r="AE44" s="1" t="s">
        <v>172</v>
      </c>
      <c r="AF44" s="1" t="s">
        <v>73</v>
      </c>
      <c r="AG44" s="1">
        <v>1</v>
      </c>
      <c r="AH44" s="1" t="s">
        <v>61</v>
      </c>
      <c r="AI44" s="1" t="s">
        <v>178</v>
      </c>
      <c r="AP44" s="117">
        <v>1</v>
      </c>
      <c r="AQ44" s="117">
        <v>5</v>
      </c>
      <c r="AR44" s="117">
        <v>1</v>
      </c>
      <c r="AS44" s="122">
        <v>6</v>
      </c>
      <c r="AT44" s="117">
        <v>1</v>
      </c>
      <c r="AU44" s="117">
        <f>AVERAGE(1,1,1,2,2,2,2,2,2,1,2,2,2,2,2,2,2,2,2,2)/5*100</f>
        <v>36</v>
      </c>
    </row>
    <row r="45" spans="1:47" ht="29.1">
      <c r="A45" s="1" t="s">
        <v>47</v>
      </c>
      <c r="B45" s="1" t="s">
        <v>144</v>
      </c>
      <c r="C45" s="1" t="s">
        <v>49</v>
      </c>
      <c r="D45" s="1" t="s">
        <v>145</v>
      </c>
      <c r="E45" s="1" t="s">
        <v>162</v>
      </c>
      <c r="F45" s="1" t="s">
        <v>179</v>
      </c>
      <c r="G45" s="1" t="s">
        <v>180</v>
      </c>
      <c r="H45" s="1">
        <v>39</v>
      </c>
      <c r="I45" s="3">
        <v>43089</v>
      </c>
      <c r="J45" s="1">
        <v>-2.9504570000000001</v>
      </c>
      <c r="K45" s="1">
        <v>29.463725</v>
      </c>
      <c r="L45" s="1">
        <v>1964</v>
      </c>
      <c r="M45" s="1">
        <v>69567009</v>
      </c>
      <c r="N45" s="1" t="s">
        <v>181</v>
      </c>
      <c r="O45" s="88">
        <f>25*24</f>
        <v>600</v>
      </c>
      <c r="P45" s="1">
        <v>2.5</v>
      </c>
      <c r="Q45" s="1" t="s">
        <v>128</v>
      </c>
      <c r="R45" s="1" t="s">
        <v>56</v>
      </c>
      <c r="S45" s="1" t="s">
        <v>57</v>
      </c>
      <c r="T45" s="9">
        <v>0</v>
      </c>
      <c r="U45" s="9" t="s">
        <v>64</v>
      </c>
      <c r="V45" s="94" t="s">
        <v>64</v>
      </c>
      <c r="W45" s="57">
        <v>1</v>
      </c>
      <c r="X45" s="57">
        <f>15/20*100</f>
        <v>75</v>
      </c>
      <c r="Y45" s="104">
        <f>AVERAGE(2,13,5,1,12,0,0,0,0,4,51,22,16,21,53,6,33,28,7,0)</f>
        <v>13.7</v>
      </c>
      <c r="Z45" s="9">
        <v>1</v>
      </c>
      <c r="AA45" s="9">
        <f>AVERAGE(1,0,0,0,0,0,0,0,0,0,0,0,0,0,0,0,,0,0,0)</f>
        <v>0.05</v>
      </c>
      <c r="AB45" s="10" t="s">
        <v>84</v>
      </c>
      <c r="AC45" s="11">
        <f>2/20*100</f>
        <v>10</v>
      </c>
      <c r="AD45" s="9">
        <f>AVERAGE(1,1,0,0,0,0,0,0,0,0,0,0,0,0,0,0,0,0,0,0)</f>
        <v>0.1</v>
      </c>
      <c r="AE45" s="1" t="s">
        <v>182</v>
      </c>
      <c r="AF45" s="1" t="s">
        <v>61</v>
      </c>
      <c r="AG45" s="1">
        <v>2</v>
      </c>
      <c r="AH45" s="1" t="s">
        <v>61</v>
      </c>
      <c r="AI45" s="1" t="s">
        <v>161</v>
      </c>
      <c r="AP45" s="117">
        <v>1</v>
      </c>
      <c r="AQ45" s="117">
        <v>4</v>
      </c>
      <c r="AR45" s="117">
        <v>1</v>
      </c>
      <c r="AS45" s="122">
        <v>6</v>
      </c>
      <c r="AT45" s="1">
        <v>1</v>
      </c>
      <c r="AU45" s="1">
        <f>AVERAGE(1,1,2,2,2,2,2,2,2,2,2,2,2,2,2,2,2,2,2,2)/5*100</f>
        <v>38</v>
      </c>
    </row>
    <row r="46" spans="1:47" ht="29.1">
      <c r="A46" s="1" t="s">
        <v>47</v>
      </c>
      <c r="B46" s="1" t="s">
        <v>144</v>
      </c>
      <c r="C46" s="1" t="s">
        <v>49</v>
      </c>
      <c r="D46" s="1" t="s">
        <v>183</v>
      </c>
      <c r="E46" s="1" t="s">
        <v>51</v>
      </c>
      <c r="F46" s="1" t="s">
        <v>66</v>
      </c>
      <c r="G46" s="1" t="s">
        <v>52</v>
      </c>
      <c r="H46" s="1">
        <v>1</v>
      </c>
      <c r="I46" s="3">
        <v>43082</v>
      </c>
      <c r="J46" s="1">
        <v>-3.4928409999999999</v>
      </c>
      <c r="K46" s="1">
        <v>29.493046</v>
      </c>
      <c r="L46" s="1">
        <v>1968</v>
      </c>
      <c r="M46" s="1">
        <v>61972875</v>
      </c>
      <c r="N46" s="1" t="s">
        <v>184</v>
      </c>
      <c r="O46" s="88">
        <f>34*10</f>
        <v>340</v>
      </c>
      <c r="P46" s="1">
        <v>2</v>
      </c>
      <c r="Q46" s="1" t="s">
        <v>55</v>
      </c>
      <c r="R46" s="1" t="s">
        <v>56</v>
      </c>
      <c r="S46" s="1" t="s">
        <v>57</v>
      </c>
      <c r="T46" s="9">
        <v>0</v>
      </c>
      <c r="U46" s="9" t="s">
        <v>64</v>
      </c>
      <c r="V46" s="94" t="s">
        <v>64</v>
      </c>
      <c r="W46" s="57">
        <v>1</v>
      </c>
      <c r="X46" s="57">
        <f>1/10*100</f>
        <v>10</v>
      </c>
      <c r="Y46" s="104">
        <f>AVERAGE(1,0,0,0,0,0,0,0,0,0)</f>
        <v>0.1</v>
      </c>
      <c r="Z46" s="9">
        <v>1</v>
      </c>
      <c r="AA46" s="9">
        <f>AVERAGE(1,0,0,0,0,0,0,0,0)</f>
        <v>0.1111111111111111</v>
      </c>
      <c r="AB46" s="10" t="s">
        <v>58</v>
      </c>
      <c r="AC46" s="11" t="s">
        <v>64</v>
      </c>
      <c r="AD46" s="9" t="s">
        <v>64</v>
      </c>
      <c r="AE46" s="1" t="s">
        <v>185</v>
      </c>
      <c r="AF46" s="1" t="s">
        <v>186</v>
      </c>
      <c r="AG46" s="1">
        <v>0</v>
      </c>
      <c r="AH46" s="1" t="s">
        <v>61</v>
      </c>
      <c r="AI46" s="1" t="s">
        <v>187</v>
      </c>
      <c r="AP46" s="117">
        <v>1</v>
      </c>
      <c r="AQ46" s="117">
        <v>3</v>
      </c>
      <c r="AR46" s="117">
        <v>1</v>
      </c>
      <c r="AS46" s="122">
        <v>5</v>
      </c>
      <c r="AT46" s="1">
        <v>1</v>
      </c>
      <c r="AU46" s="1">
        <f>AVERAGE(1,2,2,2,1,2,1,2,2,2,2,2,2,3,1,2,3,2,1,1)/5*100</f>
        <v>36</v>
      </c>
    </row>
    <row r="47" spans="1:47" ht="29.1">
      <c r="A47" s="1" t="s">
        <v>47</v>
      </c>
      <c r="B47" s="1" t="s">
        <v>144</v>
      </c>
      <c r="C47" s="1" t="s">
        <v>49</v>
      </c>
      <c r="D47" s="1" t="s">
        <v>145</v>
      </c>
      <c r="E47" s="1" t="s">
        <v>162</v>
      </c>
      <c r="F47" s="1" t="s">
        <v>179</v>
      </c>
      <c r="G47" s="1" t="s">
        <v>180</v>
      </c>
      <c r="H47" s="1">
        <v>40</v>
      </c>
      <c r="I47" s="3">
        <v>43089</v>
      </c>
      <c r="J47" s="1">
        <v>-2.9480119999999999</v>
      </c>
      <c r="K47" s="1">
        <v>29.459468000000001</v>
      </c>
      <c r="L47" s="1">
        <v>1970</v>
      </c>
      <c r="M47" s="1" t="s">
        <v>64</v>
      </c>
      <c r="N47" s="1" t="s">
        <v>188</v>
      </c>
      <c r="O47" s="88">
        <f>30*13</f>
        <v>390</v>
      </c>
      <c r="P47" s="1">
        <v>3</v>
      </c>
      <c r="Q47" s="1" t="s">
        <v>189</v>
      </c>
      <c r="R47" s="1" t="s">
        <v>56</v>
      </c>
      <c r="S47" s="1" t="s">
        <v>57</v>
      </c>
      <c r="T47" s="9">
        <v>0</v>
      </c>
      <c r="U47" s="9" t="s">
        <v>64</v>
      </c>
      <c r="V47" s="94" t="s">
        <v>64</v>
      </c>
      <c r="W47" s="57">
        <v>1</v>
      </c>
      <c r="X47" s="57">
        <f>7/20*100</f>
        <v>35</v>
      </c>
      <c r="Y47" s="104">
        <f>AVERAGE(1,1,1,1,10,3,65,0,0,0,0,0,0,0,0,0,0,0,0,0)</f>
        <v>4.0999999999999996</v>
      </c>
      <c r="Z47" s="9">
        <v>1</v>
      </c>
      <c r="AA47" s="9">
        <f>AVERAGE(1,1,0,0,0,0,0,0,0,0,0,0,0,0,0,0,0,0,0,0)</f>
        <v>0.1</v>
      </c>
      <c r="AB47" s="10" t="s">
        <v>58</v>
      </c>
      <c r="AC47" s="11" t="s">
        <v>64</v>
      </c>
      <c r="AD47" s="9" t="s">
        <v>64</v>
      </c>
      <c r="AE47" s="1" t="s">
        <v>182</v>
      </c>
      <c r="AF47" s="1" t="s">
        <v>61</v>
      </c>
      <c r="AG47" s="1">
        <v>1</v>
      </c>
      <c r="AH47" s="1" t="s">
        <v>61</v>
      </c>
      <c r="AI47" s="1" t="s">
        <v>168</v>
      </c>
      <c r="AP47" s="117">
        <v>1</v>
      </c>
      <c r="AQ47" s="117">
        <v>5</v>
      </c>
      <c r="AR47" s="117">
        <v>1</v>
      </c>
      <c r="AS47" s="122">
        <v>6</v>
      </c>
      <c r="AT47" s="1">
        <v>1</v>
      </c>
      <c r="AU47" s="1">
        <f>AVERAGE(2)/5*100</f>
        <v>40</v>
      </c>
    </row>
    <row r="48" spans="1:47" ht="29.1">
      <c r="A48" s="1" t="s">
        <v>47</v>
      </c>
      <c r="B48" s="1" t="s">
        <v>144</v>
      </c>
      <c r="C48" s="1" t="s">
        <v>49</v>
      </c>
      <c r="D48" s="1" t="s">
        <v>145</v>
      </c>
      <c r="E48" s="1" t="s">
        <v>162</v>
      </c>
      <c r="F48" s="1" t="s">
        <v>179</v>
      </c>
      <c r="G48" s="1" t="s">
        <v>180</v>
      </c>
      <c r="H48" s="1">
        <v>41</v>
      </c>
      <c r="I48" s="3">
        <v>43089</v>
      </c>
      <c r="J48" s="1">
        <v>-2.9541499999999998</v>
      </c>
      <c r="K48" s="1">
        <v>29.466681999999999</v>
      </c>
      <c r="L48" s="1">
        <v>2003</v>
      </c>
      <c r="M48" s="1" t="s">
        <v>64</v>
      </c>
      <c r="N48" s="1" t="s">
        <v>190</v>
      </c>
      <c r="O48" s="88">
        <f>25*15</f>
        <v>375</v>
      </c>
      <c r="P48" s="1">
        <v>2</v>
      </c>
      <c r="Q48" s="1" t="s">
        <v>150</v>
      </c>
      <c r="R48" s="1" t="s">
        <v>56</v>
      </c>
      <c r="S48" s="1" t="s">
        <v>57</v>
      </c>
      <c r="T48" s="9">
        <v>0</v>
      </c>
      <c r="U48" s="9" t="s">
        <v>64</v>
      </c>
      <c r="V48" s="94" t="s">
        <v>64</v>
      </c>
      <c r="W48" s="57">
        <v>1</v>
      </c>
      <c r="X48" s="57">
        <f>17/20*100</f>
        <v>85</v>
      </c>
      <c r="Y48" s="104">
        <f>AVERAGE(0,2,3,2,14,14,5,0,0,7,36,45,25,33,3,27,9,5,19,24)</f>
        <v>13.65</v>
      </c>
      <c r="Z48" s="9">
        <v>0</v>
      </c>
      <c r="AA48" s="9" t="s">
        <v>64</v>
      </c>
      <c r="AB48" s="10" t="s">
        <v>58</v>
      </c>
      <c r="AC48" s="11" t="s">
        <v>64</v>
      </c>
      <c r="AD48" s="9" t="s">
        <v>64</v>
      </c>
      <c r="AE48" s="1" t="s">
        <v>182</v>
      </c>
      <c r="AF48" s="1" t="s">
        <v>167</v>
      </c>
      <c r="AG48" s="1">
        <v>1</v>
      </c>
      <c r="AH48" s="1" t="s">
        <v>61</v>
      </c>
      <c r="AI48" s="1" t="s">
        <v>161</v>
      </c>
      <c r="AP48" s="117">
        <v>1</v>
      </c>
      <c r="AQ48" s="117">
        <v>4</v>
      </c>
      <c r="AR48" s="117">
        <v>1</v>
      </c>
      <c r="AS48" s="122">
        <v>5</v>
      </c>
      <c r="AT48" s="1">
        <v>1</v>
      </c>
      <c r="AU48" s="1">
        <f>AVERAGE(2)/5*100</f>
        <v>40</v>
      </c>
    </row>
    <row r="49" spans="1:47" ht="72.599999999999994">
      <c r="A49" s="1" t="s">
        <v>47</v>
      </c>
      <c r="B49" s="1" t="s">
        <v>144</v>
      </c>
      <c r="C49" s="1" t="s">
        <v>49</v>
      </c>
      <c r="D49" s="1" t="s">
        <v>78</v>
      </c>
      <c r="E49" s="1" t="s">
        <v>78</v>
      </c>
      <c r="F49" s="1" t="s">
        <v>79</v>
      </c>
      <c r="G49" s="1" t="s">
        <v>191</v>
      </c>
      <c r="H49" s="1">
        <v>28</v>
      </c>
      <c r="I49" s="3">
        <v>43087</v>
      </c>
      <c r="J49" s="1">
        <v>-3.2939630000000002</v>
      </c>
      <c r="K49" s="1">
        <v>29.570395000000001</v>
      </c>
      <c r="L49" s="1">
        <v>2025</v>
      </c>
      <c r="M49" s="1" t="s">
        <v>64</v>
      </c>
      <c r="N49" s="1" t="s">
        <v>116</v>
      </c>
      <c r="O49" s="88">
        <f>48*36</f>
        <v>1728</v>
      </c>
      <c r="P49" s="1">
        <v>2</v>
      </c>
      <c r="Q49" s="1" t="s">
        <v>150</v>
      </c>
      <c r="R49" s="1" t="s">
        <v>56</v>
      </c>
      <c r="S49" s="1" t="s">
        <v>57</v>
      </c>
      <c r="T49" s="9">
        <v>0</v>
      </c>
      <c r="U49" s="9" t="s">
        <v>64</v>
      </c>
      <c r="V49" s="94" t="s">
        <v>64</v>
      </c>
      <c r="W49" s="57">
        <v>1</v>
      </c>
      <c r="X49" s="57">
        <f>1/20*100</f>
        <v>5</v>
      </c>
      <c r="Y49" s="104">
        <f>AVERAGE(1,0,0,0,0,0,0,0,0,0,0,0,0,0,0,0,0,0,0,0)</f>
        <v>0.05</v>
      </c>
      <c r="Z49" s="9">
        <v>1</v>
      </c>
      <c r="AA49" s="9">
        <f>AVERAGE(3,2,3,4,2,3,2,4,4,1,1,0,0,0,0,0,0,0,0,0)</f>
        <v>1.45</v>
      </c>
      <c r="AB49" s="10" t="s">
        <v>58</v>
      </c>
      <c r="AC49" s="11" t="s">
        <v>64</v>
      </c>
      <c r="AD49" s="9" t="s">
        <v>64</v>
      </c>
      <c r="AE49" s="1" t="s">
        <v>192</v>
      </c>
      <c r="AF49" s="1" t="s">
        <v>193</v>
      </c>
      <c r="AG49" s="1">
        <v>0</v>
      </c>
      <c r="AH49" s="1" t="s">
        <v>61</v>
      </c>
      <c r="AI49" s="1" t="s">
        <v>61</v>
      </c>
      <c r="AP49" s="117">
        <v>0</v>
      </c>
      <c r="AQ49" s="117" t="s">
        <v>64</v>
      </c>
      <c r="AR49" s="117">
        <v>1</v>
      </c>
      <c r="AS49" s="122">
        <v>5</v>
      </c>
      <c r="AT49" s="1">
        <v>1</v>
      </c>
      <c r="AU49" s="1">
        <f>AVERAGE(1,2,2,2,1,2,2,2,2,1,1,1,1,2,2,1,1,2,2,2)/5*100</f>
        <v>32</v>
      </c>
    </row>
    <row r="50" spans="1:47" ht="43.5">
      <c r="A50" s="1" t="s">
        <v>47</v>
      </c>
      <c r="B50" s="1" t="s">
        <v>144</v>
      </c>
      <c r="C50" s="1" t="s">
        <v>49</v>
      </c>
      <c r="D50" s="1" t="s">
        <v>145</v>
      </c>
      <c r="E50" s="1" t="s">
        <v>162</v>
      </c>
      <c r="F50" s="1" t="s">
        <v>179</v>
      </c>
      <c r="G50" s="1" t="s">
        <v>180</v>
      </c>
      <c r="H50" s="1">
        <v>37</v>
      </c>
      <c r="I50" s="3">
        <v>43088</v>
      </c>
      <c r="J50" s="1">
        <v>-2.9556779999999998</v>
      </c>
      <c r="K50" s="1">
        <v>29.467865</v>
      </c>
      <c r="L50" s="1">
        <v>2034</v>
      </c>
      <c r="M50" s="1">
        <v>69560780</v>
      </c>
      <c r="N50" s="1" t="s">
        <v>194</v>
      </c>
      <c r="O50" s="88">
        <f>25*15</f>
        <v>375</v>
      </c>
      <c r="P50" s="1">
        <v>2.5</v>
      </c>
      <c r="Q50" s="1" t="s">
        <v>128</v>
      </c>
      <c r="R50" s="1" t="s">
        <v>56</v>
      </c>
      <c r="S50" s="1" t="s">
        <v>151</v>
      </c>
      <c r="T50" s="9">
        <v>0</v>
      </c>
      <c r="U50" s="9" t="s">
        <v>64</v>
      </c>
      <c r="V50" s="94" t="s">
        <v>64</v>
      </c>
      <c r="W50" s="57">
        <v>1</v>
      </c>
      <c r="X50" s="57">
        <f>13/20*100</f>
        <v>65</v>
      </c>
      <c r="Y50" s="104">
        <f>AVERAGE(2,4,5,0,1,2,4,2,0,2,11,1,2,5,1,0,0,0,0,0)</f>
        <v>2.1</v>
      </c>
      <c r="Z50" s="9">
        <v>1</v>
      </c>
      <c r="AA50" s="9">
        <f>AVERAGE(1,0,0,0,0,0,0,0,0,0,0,0,0,0,0,0,0,0,0,0)</f>
        <v>0.05</v>
      </c>
      <c r="AB50" s="10" t="s">
        <v>58</v>
      </c>
      <c r="AC50" s="11" t="s">
        <v>64</v>
      </c>
      <c r="AD50" s="9" t="s">
        <v>64</v>
      </c>
      <c r="AE50" s="1" t="s">
        <v>182</v>
      </c>
      <c r="AF50" s="1" t="s">
        <v>195</v>
      </c>
      <c r="AG50" s="1">
        <v>2</v>
      </c>
      <c r="AH50" s="1" t="s">
        <v>61</v>
      </c>
      <c r="AI50" s="1" t="s">
        <v>196</v>
      </c>
      <c r="AP50" s="117">
        <v>1</v>
      </c>
      <c r="AQ50" s="117">
        <v>4</v>
      </c>
      <c r="AR50" s="117">
        <v>1</v>
      </c>
      <c r="AS50" s="122">
        <v>6</v>
      </c>
      <c r="AT50" s="1">
        <v>1</v>
      </c>
      <c r="AU50" s="1">
        <f>AVERAGE(2)/5*100</f>
        <v>40</v>
      </c>
    </row>
    <row r="51" spans="1:47" ht="29.1">
      <c r="A51" s="1" t="s">
        <v>47</v>
      </c>
      <c r="B51" s="1" t="s">
        <v>144</v>
      </c>
      <c r="C51" s="1" t="s">
        <v>49</v>
      </c>
      <c r="D51" s="1" t="s">
        <v>145</v>
      </c>
      <c r="E51" s="1" t="s">
        <v>162</v>
      </c>
      <c r="F51" s="1" t="s">
        <v>179</v>
      </c>
      <c r="G51" s="1" t="s">
        <v>180</v>
      </c>
      <c r="H51" s="1">
        <v>38</v>
      </c>
      <c r="I51" s="3">
        <v>43089</v>
      </c>
      <c r="J51" s="1">
        <v>-2.9535719999999999</v>
      </c>
      <c r="K51" s="1">
        <v>29.462987999999999</v>
      </c>
      <c r="L51" s="1">
        <f>2056</f>
        <v>2056</v>
      </c>
      <c r="M51" s="1">
        <v>61879477</v>
      </c>
      <c r="N51" s="1" t="s">
        <v>197</v>
      </c>
      <c r="O51" s="88">
        <f>20*19</f>
        <v>380</v>
      </c>
      <c r="P51" s="1">
        <v>2.5</v>
      </c>
      <c r="Q51" s="1" t="s">
        <v>128</v>
      </c>
      <c r="R51" s="1" t="s">
        <v>56</v>
      </c>
      <c r="S51" s="1" t="s">
        <v>57</v>
      </c>
      <c r="T51" s="9">
        <v>0</v>
      </c>
      <c r="U51" s="9" t="s">
        <v>64</v>
      </c>
      <c r="V51" s="94" t="s">
        <v>64</v>
      </c>
      <c r="W51" s="57">
        <v>1</v>
      </c>
      <c r="X51" s="57">
        <f>18/20*100</f>
        <v>90</v>
      </c>
      <c r="Y51" s="104">
        <f>AVERAGE(32,1,0,4,0,18,15,5,3,3,4,11,7,14,13,19,6,2,5,7)</f>
        <v>8.4499999999999993</v>
      </c>
      <c r="Z51" s="9">
        <v>0</v>
      </c>
      <c r="AA51" s="9" t="s">
        <v>64</v>
      </c>
      <c r="AB51" s="10" t="s">
        <v>58</v>
      </c>
      <c r="AC51" s="11" t="s">
        <v>64</v>
      </c>
      <c r="AD51" s="9" t="s">
        <v>64</v>
      </c>
      <c r="AE51" s="1" t="s">
        <v>182</v>
      </c>
      <c r="AF51" s="1" t="s">
        <v>61</v>
      </c>
      <c r="AG51" s="1">
        <v>3</v>
      </c>
      <c r="AH51" s="1" t="s">
        <v>61</v>
      </c>
      <c r="AI51" s="1" t="s">
        <v>168</v>
      </c>
      <c r="AP51" s="117">
        <v>1</v>
      </c>
      <c r="AQ51" s="117">
        <v>5</v>
      </c>
      <c r="AR51" s="117">
        <v>1</v>
      </c>
      <c r="AS51" s="122">
        <v>4</v>
      </c>
      <c r="AT51" s="1">
        <v>1</v>
      </c>
      <c r="AU51" s="1">
        <f>AVERAGE(1,1,2,2,1,1,1,1,2,2,2,2,2,2,2,2,2,1,1)/5*100</f>
        <v>31.578947368421051</v>
      </c>
    </row>
    <row r="52" spans="1:47" ht="29.1">
      <c r="A52" s="1" t="s">
        <v>47</v>
      </c>
      <c r="B52" s="1" t="s">
        <v>144</v>
      </c>
      <c r="C52" s="1" t="s">
        <v>49</v>
      </c>
      <c r="D52" s="1" t="s">
        <v>145</v>
      </c>
      <c r="E52" s="1" t="s">
        <v>162</v>
      </c>
      <c r="F52" s="1" t="s">
        <v>163</v>
      </c>
      <c r="G52" s="1" t="s">
        <v>164</v>
      </c>
      <c r="H52" s="1">
        <v>36</v>
      </c>
      <c r="I52" s="3">
        <v>43088</v>
      </c>
      <c r="J52" s="1">
        <v>-3.1285799999999999</v>
      </c>
      <c r="K52" s="1">
        <v>29.525912000000002</v>
      </c>
      <c r="L52" s="1">
        <v>2063</v>
      </c>
      <c r="M52" s="1" t="s">
        <v>64</v>
      </c>
      <c r="N52" s="1" t="s">
        <v>64</v>
      </c>
      <c r="O52" s="88">
        <f>20*7</f>
        <v>140</v>
      </c>
      <c r="P52" s="1">
        <v>3</v>
      </c>
      <c r="Q52" s="1" t="s">
        <v>189</v>
      </c>
      <c r="R52" s="1" t="s">
        <v>56</v>
      </c>
      <c r="S52" s="1" t="s">
        <v>57</v>
      </c>
      <c r="T52" s="9">
        <v>0</v>
      </c>
      <c r="U52" s="9" t="s">
        <v>64</v>
      </c>
      <c r="V52" s="94" t="s">
        <v>64</v>
      </c>
      <c r="W52" s="57">
        <v>1</v>
      </c>
      <c r="X52" s="57">
        <f>2/20*100</f>
        <v>10</v>
      </c>
      <c r="Y52" s="104">
        <f>AVERAGE(1,3,0,0,0,0,0,0,0,0,0,0,0,0,0,0,0,0,0,0)</f>
        <v>0.2</v>
      </c>
      <c r="Z52" s="9">
        <v>0</v>
      </c>
      <c r="AA52" s="9" t="s">
        <v>64</v>
      </c>
      <c r="AB52" s="10" t="s">
        <v>58</v>
      </c>
      <c r="AC52" s="11" t="s">
        <v>64</v>
      </c>
      <c r="AD52" s="9" t="s">
        <v>64</v>
      </c>
      <c r="AE52" s="1" t="s">
        <v>64</v>
      </c>
      <c r="AF52" s="1" t="s">
        <v>167</v>
      </c>
      <c r="AG52" s="1">
        <v>1</v>
      </c>
      <c r="AH52" s="1" t="s">
        <v>61</v>
      </c>
      <c r="AI52" s="1" t="s">
        <v>61</v>
      </c>
      <c r="AP52" s="117">
        <v>1</v>
      </c>
      <c r="AQ52" s="117">
        <v>4</v>
      </c>
      <c r="AR52" s="117">
        <v>1</v>
      </c>
      <c r="AS52" s="122">
        <v>5</v>
      </c>
      <c r="AT52" s="1">
        <v>1</v>
      </c>
      <c r="AU52" s="1">
        <f>AVERAGE(2,3,3,3,2,3,3,3,3,3,3,2,3,3,3,3,3,3,3,3)/5*100</f>
        <v>57.000000000000007</v>
      </c>
    </row>
    <row r="53" spans="1:47" ht="29.1">
      <c r="A53" s="1" t="s">
        <v>47</v>
      </c>
      <c r="B53" s="1" t="s">
        <v>144</v>
      </c>
      <c r="C53" s="1" t="s">
        <v>49</v>
      </c>
      <c r="D53" s="1" t="s">
        <v>78</v>
      </c>
      <c r="E53" s="1" t="s">
        <v>198</v>
      </c>
      <c r="F53" s="1" t="s">
        <v>198</v>
      </c>
      <c r="G53" s="1" t="s">
        <v>199</v>
      </c>
      <c r="H53" s="1">
        <v>27</v>
      </c>
      <c r="I53" s="3">
        <v>43087</v>
      </c>
      <c r="J53" s="1">
        <v>-3.2272129999999999</v>
      </c>
      <c r="K53" s="1">
        <v>29.574055000000001</v>
      </c>
      <c r="L53" s="1">
        <v>2101</v>
      </c>
      <c r="M53" s="1">
        <v>79500326</v>
      </c>
      <c r="N53" s="1" t="s">
        <v>200</v>
      </c>
      <c r="O53" s="88">
        <f>20*33</f>
        <v>660</v>
      </c>
      <c r="P53" s="1">
        <v>2</v>
      </c>
      <c r="Q53" s="1" t="s">
        <v>150</v>
      </c>
      <c r="R53" s="1" t="s">
        <v>56</v>
      </c>
      <c r="S53" s="1" t="s">
        <v>57</v>
      </c>
      <c r="T53" s="9">
        <v>0</v>
      </c>
      <c r="U53" s="9" t="s">
        <v>64</v>
      </c>
      <c r="V53" s="94" t="s">
        <v>64</v>
      </c>
      <c r="W53" s="57">
        <v>1</v>
      </c>
      <c r="X53" s="57">
        <f>7/20*100</f>
        <v>35</v>
      </c>
      <c r="Y53" s="104">
        <f>AVERAGE(1,3,0,0,1,0,2,0,1,0,4,1,0,0,0,0,0,0,0,0)</f>
        <v>0.65</v>
      </c>
      <c r="Z53" s="9">
        <v>1</v>
      </c>
      <c r="AA53" s="9">
        <f>AVERAGE(2,0,0,0,0,0,0,0,0,0,0,0,0,0,0,0,0,0,0,0)</f>
        <v>0.1</v>
      </c>
      <c r="AB53" s="10" t="s">
        <v>84</v>
      </c>
      <c r="AC53" s="11">
        <f>2/20*100</f>
        <v>10</v>
      </c>
      <c r="AD53" s="9">
        <f>AVERAGE(1,1,0,0,0,0,0,0,0,0,0,0,0,0,0,0,0,0,0,0)</f>
        <v>0.1</v>
      </c>
      <c r="AE53" s="1" t="s">
        <v>201</v>
      </c>
      <c r="AF53" s="1" t="s">
        <v>61</v>
      </c>
      <c r="AG53" s="1">
        <v>0</v>
      </c>
      <c r="AH53" s="1" t="s">
        <v>202</v>
      </c>
      <c r="AI53" s="1" t="s">
        <v>196</v>
      </c>
      <c r="AP53" s="117">
        <v>1</v>
      </c>
      <c r="AQ53" s="117">
        <v>5</v>
      </c>
      <c r="AR53" s="117">
        <v>1</v>
      </c>
      <c r="AS53" s="122">
        <v>4</v>
      </c>
      <c r="AT53" s="1">
        <v>1</v>
      </c>
      <c r="AU53" s="1">
        <f>AVERAGE(2,2,2,2,2,2,2,1,1,1,1,1,2,2,2,2,2,2,2,2)/5*100</f>
        <v>35</v>
      </c>
    </row>
    <row r="54" spans="1:47" ht="29.1">
      <c r="A54" s="1" t="s">
        <v>47</v>
      </c>
      <c r="B54" s="1" t="s">
        <v>144</v>
      </c>
      <c r="C54" s="1" t="s">
        <v>49</v>
      </c>
      <c r="D54" s="1" t="s">
        <v>174</v>
      </c>
      <c r="E54" s="1" t="s">
        <v>70</v>
      </c>
      <c r="F54" s="1" t="s">
        <v>203</v>
      </c>
      <c r="G54" s="1" t="s">
        <v>204</v>
      </c>
      <c r="H54" s="1">
        <v>2</v>
      </c>
      <c r="I54" s="3">
        <v>43082</v>
      </c>
      <c r="J54" s="1">
        <v>-3.4997829999999999</v>
      </c>
      <c r="K54" s="1">
        <v>29.521021999999999</v>
      </c>
      <c r="L54" s="1">
        <v>2156</v>
      </c>
      <c r="M54" s="1" t="s">
        <v>64</v>
      </c>
      <c r="N54" s="1" t="s">
        <v>205</v>
      </c>
      <c r="O54" s="88">
        <f>48*8</f>
        <v>384</v>
      </c>
      <c r="P54" s="1">
        <v>2.5</v>
      </c>
      <c r="Q54" s="1" t="s">
        <v>150</v>
      </c>
      <c r="R54" s="1" t="s">
        <v>56</v>
      </c>
      <c r="S54" s="1" t="s">
        <v>57</v>
      </c>
      <c r="T54" s="9">
        <v>0</v>
      </c>
      <c r="U54" s="9" t="s">
        <v>64</v>
      </c>
      <c r="V54" s="94" t="s">
        <v>64</v>
      </c>
      <c r="W54" s="57">
        <v>1</v>
      </c>
      <c r="X54" s="57">
        <f>3/10*100</f>
        <v>30</v>
      </c>
      <c r="Y54" s="104">
        <f>AVERAGE(2,3,2,0,0,0,0,0,0,0)</f>
        <v>0.7</v>
      </c>
      <c r="Z54" s="9">
        <v>0</v>
      </c>
      <c r="AA54" s="9" t="s">
        <v>64</v>
      </c>
      <c r="AB54" s="10" t="s">
        <v>58</v>
      </c>
      <c r="AC54" s="11" t="s">
        <v>64</v>
      </c>
      <c r="AD54" s="9" t="s">
        <v>64</v>
      </c>
      <c r="AE54" s="1" t="s">
        <v>64</v>
      </c>
      <c r="AF54" s="1" t="s">
        <v>61</v>
      </c>
      <c r="AG54" s="1">
        <v>0</v>
      </c>
      <c r="AH54" s="1" t="s">
        <v>64</v>
      </c>
      <c r="AI54" s="1" t="s">
        <v>64</v>
      </c>
      <c r="AP54" s="117">
        <v>1</v>
      </c>
      <c r="AQ54" s="117">
        <v>5</v>
      </c>
      <c r="AR54" s="117">
        <v>1</v>
      </c>
      <c r="AS54" s="122">
        <v>5</v>
      </c>
      <c r="AT54" s="1">
        <v>1</v>
      </c>
      <c r="AU54" s="1">
        <f>AVERAGE(2,2,2,1,1,2,2,2,1,1,2,1,2,2,1,1,2,1,1,1)/5*100</f>
        <v>30</v>
      </c>
    </row>
    <row r="55" spans="1:47" ht="43.5">
      <c r="A55" s="1" t="s">
        <v>47</v>
      </c>
      <c r="B55" s="1" t="s">
        <v>144</v>
      </c>
      <c r="C55" s="1" t="s">
        <v>49</v>
      </c>
      <c r="D55" s="1" t="s">
        <v>78</v>
      </c>
      <c r="E55" s="1" t="s">
        <v>78</v>
      </c>
      <c r="F55" s="1" t="s">
        <v>206</v>
      </c>
      <c r="G55" s="1" t="s">
        <v>207</v>
      </c>
      <c r="H55" s="1">
        <v>31</v>
      </c>
      <c r="I55" s="3">
        <v>43087</v>
      </c>
      <c r="J55" s="1">
        <v>-3.328068</v>
      </c>
      <c r="K55" s="1">
        <v>29.547391000000001</v>
      </c>
      <c r="L55" s="1">
        <v>2185</v>
      </c>
      <c r="M55" s="1">
        <v>7652690</v>
      </c>
      <c r="N55" s="1" t="s">
        <v>208</v>
      </c>
      <c r="O55" s="88">
        <f>20*14</f>
        <v>280</v>
      </c>
      <c r="P55" s="1">
        <v>2</v>
      </c>
      <c r="Q55" s="1" t="s">
        <v>150</v>
      </c>
      <c r="R55" s="1" t="s">
        <v>56</v>
      </c>
      <c r="S55" s="1" t="s">
        <v>57</v>
      </c>
      <c r="T55" s="9">
        <v>0</v>
      </c>
      <c r="U55" s="9" t="s">
        <v>64</v>
      </c>
      <c r="V55" s="94" t="s">
        <v>64</v>
      </c>
      <c r="W55" s="57">
        <v>1</v>
      </c>
      <c r="X55" s="57">
        <f>8/20*100</f>
        <v>40</v>
      </c>
      <c r="Y55" s="104">
        <f>AVERAGE(0,0,13,0,0,0,6,0,3,2,0,15,20,10,12,0,0,0,0,0)</f>
        <v>4.05</v>
      </c>
      <c r="Z55" s="9">
        <v>0</v>
      </c>
      <c r="AA55" s="9" t="s">
        <v>64</v>
      </c>
      <c r="AB55" s="10" t="s">
        <v>84</v>
      </c>
      <c r="AC55" s="11">
        <f>1/20*100</f>
        <v>5</v>
      </c>
      <c r="AD55" s="9">
        <f>AVERAGE(1,0,0,0,0,0,0,0,0,0,0,0,0,0,0,0,0,0,0,0)</f>
        <v>0.05</v>
      </c>
      <c r="AE55" s="1" t="s">
        <v>209</v>
      </c>
      <c r="AF55" s="1" t="s">
        <v>210</v>
      </c>
      <c r="AG55" s="1">
        <v>2</v>
      </c>
      <c r="AH55" s="1" t="s">
        <v>61</v>
      </c>
      <c r="AI55" s="1" t="s">
        <v>61</v>
      </c>
      <c r="AP55" s="117">
        <v>1</v>
      </c>
      <c r="AQ55" s="117">
        <v>4</v>
      </c>
      <c r="AR55" s="117">
        <v>1</v>
      </c>
      <c r="AS55" s="122">
        <v>5</v>
      </c>
      <c r="AT55" s="1">
        <v>1</v>
      </c>
      <c r="AU55" s="1">
        <f>AVERAGE(2)/5*100</f>
        <v>40</v>
      </c>
    </row>
    <row r="56" spans="1:47" ht="43.5">
      <c r="A56" s="1" t="s">
        <v>47</v>
      </c>
      <c r="B56" s="1" t="s">
        <v>144</v>
      </c>
      <c r="C56" s="1" t="s">
        <v>49</v>
      </c>
      <c r="D56" s="1" t="s">
        <v>174</v>
      </c>
      <c r="E56" s="1" t="s">
        <v>70</v>
      </c>
      <c r="F56" s="1" t="s">
        <v>211</v>
      </c>
      <c r="G56" s="1" t="s">
        <v>212</v>
      </c>
      <c r="H56" s="1">
        <v>21</v>
      </c>
      <c r="I56" s="3">
        <v>43085</v>
      </c>
      <c r="J56" s="1">
        <v>-3.4437280000000001</v>
      </c>
      <c r="K56" s="1">
        <v>29.561693000000002</v>
      </c>
      <c r="L56" s="1">
        <v>2189</v>
      </c>
      <c r="M56" s="1">
        <v>72374505</v>
      </c>
      <c r="N56" s="1" t="s">
        <v>213</v>
      </c>
      <c r="O56" s="88">
        <f>14*10</f>
        <v>140</v>
      </c>
      <c r="P56" s="1">
        <v>3</v>
      </c>
      <c r="Q56" s="1" t="s">
        <v>189</v>
      </c>
      <c r="R56" s="1" t="s">
        <v>56</v>
      </c>
      <c r="S56" s="1" t="s">
        <v>214</v>
      </c>
      <c r="T56" s="9">
        <v>0</v>
      </c>
      <c r="U56" s="9" t="s">
        <v>64</v>
      </c>
      <c r="V56" s="94" t="s">
        <v>64</v>
      </c>
      <c r="W56" s="57">
        <v>1</v>
      </c>
      <c r="X56" s="57">
        <f>4/20*100</f>
        <v>20</v>
      </c>
      <c r="Y56" s="104">
        <f>AVERAGE(1,10,1,1,0,0,0,0,0,0,0,0,0,0,0,0,0,0,0,0)</f>
        <v>0.65</v>
      </c>
      <c r="Z56" s="9">
        <v>0</v>
      </c>
      <c r="AA56" s="9" t="s">
        <v>64</v>
      </c>
      <c r="AB56" s="10" t="s">
        <v>84</v>
      </c>
      <c r="AC56" s="11">
        <f>1/20*100</f>
        <v>5</v>
      </c>
      <c r="AD56" s="9">
        <f>AVERAGE(1,0,0,0,0,0,0,0,0,0,0,0,0,0,0,0,0,0,0,0)</f>
        <v>0.05</v>
      </c>
      <c r="AE56" s="1" t="s">
        <v>172</v>
      </c>
      <c r="AF56" s="1" t="s">
        <v>195</v>
      </c>
      <c r="AG56" s="1">
        <v>3</v>
      </c>
      <c r="AH56" s="1" t="s">
        <v>61</v>
      </c>
      <c r="AI56" s="1" t="s">
        <v>215</v>
      </c>
      <c r="AP56" s="117">
        <v>1</v>
      </c>
      <c r="AQ56" s="117">
        <v>5</v>
      </c>
      <c r="AR56" s="117">
        <v>1</v>
      </c>
      <c r="AS56" s="122">
        <v>4</v>
      </c>
      <c r="AT56" s="1">
        <v>1</v>
      </c>
      <c r="AU56" s="1">
        <f>AVERAGE(2,2,2,2,2,2,2,2,2,2,2,2,2,2,2,2,2,2,2,2)/5*100</f>
        <v>40</v>
      </c>
    </row>
    <row r="57" spans="1:47" ht="29.1">
      <c r="A57" s="1" t="s">
        <v>47</v>
      </c>
      <c r="B57" s="1" t="s">
        <v>144</v>
      </c>
      <c r="C57" s="1" t="s">
        <v>49</v>
      </c>
      <c r="D57" s="1" t="s">
        <v>174</v>
      </c>
      <c r="E57" s="1" t="s">
        <v>70</v>
      </c>
      <c r="F57" s="1" t="s">
        <v>216</v>
      </c>
      <c r="G57" s="1" t="s">
        <v>101</v>
      </c>
      <c r="H57" s="1">
        <v>22</v>
      </c>
      <c r="I57" s="3">
        <v>43085</v>
      </c>
      <c r="J57" s="1">
        <v>-3.4319069999999998</v>
      </c>
      <c r="K57" s="1">
        <v>29.556625</v>
      </c>
      <c r="L57" s="1">
        <v>2201</v>
      </c>
      <c r="M57" s="1">
        <v>68959407</v>
      </c>
      <c r="N57" s="1" t="s">
        <v>217</v>
      </c>
      <c r="O57" s="88">
        <f>18*18</f>
        <v>324</v>
      </c>
      <c r="P57" s="1">
        <v>3</v>
      </c>
      <c r="Q57" s="1" t="s">
        <v>189</v>
      </c>
      <c r="R57" s="1" t="s">
        <v>56</v>
      </c>
      <c r="S57" s="1" t="s">
        <v>57</v>
      </c>
      <c r="T57" s="9">
        <v>0</v>
      </c>
      <c r="U57" s="9" t="s">
        <v>64</v>
      </c>
      <c r="V57" s="94" t="s">
        <v>64</v>
      </c>
      <c r="W57" s="57">
        <v>1</v>
      </c>
      <c r="X57" s="57">
        <f>5/20*100</f>
        <v>25</v>
      </c>
      <c r="Y57" s="104">
        <f>AVERAGE(0,0,0,1,5,1,0,0,0,1,1,0,0,0,0,0,0,0,0,0)</f>
        <v>0.45</v>
      </c>
      <c r="Z57" s="9">
        <v>1</v>
      </c>
      <c r="AA57" s="9">
        <f>AVERAGE(1,0,0,0,0,0,0,0,0,0,0,0,0,0,0,0,0,0,0,0)</f>
        <v>0.05</v>
      </c>
      <c r="AB57" s="10" t="s">
        <v>84</v>
      </c>
      <c r="AC57" s="11">
        <f>3/20*100</f>
        <v>15</v>
      </c>
      <c r="AD57" s="9">
        <f>AVERAGE(1,0,0,0,0,0,0,0,0,0,0,0,0,0,0,0,0,0,0,0)</f>
        <v>0.05</v>
      </c>
      <c r="AE57" s="1" t="s">
        <v>172</v>
      </c>
      <c r="AF57" s="1" t="s">
        <v>218</v>
      </c>
      <c r="AG57" s="1">
        <v>1</v>
      </c>
      <c r="AH57" s="1" t="s">
        <v>61</v>
      </c>
      <c r="AI57" s="1" t="s">
        <v>61</v>
      </c>
      <c r="AP57" s="117">
        <v>1</v>
      </c>
      <c r="AQ57" s="117">
        <v>5</v>
      </c>
      <c r="AR57" s="117">
        <v>1</v>
      </c>
      <c r="AS57" s="122">
        <v>4</v>
      </c>
      <c r="AT57" s="1">
        <v>1</v>
      </c>
      <c r="AU57" s="1">
        <f>AVERAGE(2,2,2,2,2,2,2,2,2,2,2,2,2,2,2,2,2,2,2,2)/5*100</f>
        <v>40</v>
      </c>
    </row>
    <row r="58" spans="1:47" ht="57.95">
      <c r="A58" s="1" t="s">
        <v>47</v>
      </c>
      <c r="B58" s="1" t="s">
        <v>144</v>
      </c>
      <c r="C58" s="1" t="s">
        <v>49</v>
      </c>
      <c r="D58" s="1" t="s">
        <v>78</v>
      </c>
      <c r="E58" s="1" t="s">
        <v>78</v>
      </c>
      <c r="F58" s="1" t="s">
        <v>169</v>
      </c>
      <c r="G58" s="1" t="s">
        <v>170</v>
      </c>
      <c r="H58" s="1">
        <v>25</v>
      </c>
      <c r="I58" s="3">
        <v>43087</v>
      </c>
      <c r="J58" s="1">
        <v>-3.289685</v>
      </c>
      <c r="K58" s="1">
        <v>29.547650000000001</v>
      </c>
      <c r="L58" s="1">
        <v>2210</v>
      </c>
      <c r="M58" s="1">
        <v>79570115</v>
      </c>
      <c r="N58" s="1" t="s">
        <v>219</v>
      </c>
      <c r="O58" s="88">
        <f>34*34</f>
        <v>1156</v>
      </c>
      <c r="P58" s="1">
        <v>2</v>
      </c>
      <c r="Q58" s="1" t="s">
        <v>150</v>
      </c>
      <c r="R58" s="1" t="s">
        <v>56</v>
      </c>
      <c r="S58" s="1" t="s">
        <v>57</v>
      </c>
      <c r="T58" s="9">
        <v>0</v>
      </c>
      <c r="U58" s="9" t="s">
        <v>64</v>
      </c>
      <c r="V58" s="94" t="s">
        <v>64</v>
      </c>
      <c r="W58" s="57">
        <v>1</v>
      </c>
      <c r="X58" s="57">
        <f>6/20*100</f>
        <v>30</v>
      </c>
      <c r="Y58" s="104">
        <f>AVERAGE(22,9,1,0,1,0,0,0,0,0,1,2,0,0,0,0,0,0,0,0)</f>
        <v>1.8</v>
      </c>
      <c r="Z58" s="9">
        <v>1</v>
      </c>
      <c r="AA58" s="9">
        <f>AVERAGE(2,3,3,1,4,1,3,0,3,5,5,0,0,0,0,0,0,0,0,0)</f>
        <v>1.5</v>
      </c>
      <c r="AB58" s="10" t="s">
        <v>84</v>
      </c>
      <c r="AC58" s="11">
        <f>4/20*100</f>
        <v>20</v>
      </c>
      <c r="AD58" s="9">
        <f>AVERAGE(1,1,1,1,0,0,0,0,0,0,0,0,0,0,0,0,0,0,0,0)</f>
        <v>0.2</v>
      </c>
      <c r="AE58" s="1" t="s">
        <v>172</v>
      </c>
      <c r="AF58" s="1" t="s">
        <v>220</v>
      </c>
      <c r="AG58" s="1">
        <v>0</v>
      </c>
      <c r="AH58" s="1" t="s">
        <v>61</v>
      </c>
      <c r="AI58" s="1" t="s">
        <v>100</v>
      </c>
      <c r="AP58" s="117">
        <v>1</v>
      </c>
      <c r="AQ58" s="117">
        <v>4</v>
      </c>
      <c r="AR58" s="117">
        <v>1</v>
      </c>
      <c r="AS58" s="122">
        <v>5</v>
      </c>
      <c r="AT58" s="1">
        <v>1</v>
      </c>
      <c r="AU58" s="1">
        <f>AVERAGE(1,1,1,1,1,2,2,2,2,2,2,2,2,2,2,2,2,2,2,2)/5*100</f>
        <v>35</v>
      </c>
    </row>
    <row r="59" spans="1:47" ht="43.5">
      <c r="A59" s="1" t="s">
        <v>47</v>
      </c>
      <c r="B59" s="1" t="s">
        <v>144</v>
      </c>
      <c r="C59" s="1" t="s">
        <v>49</v>
      </c>
      <c r="D59" s="1" t="s">
        <v>78</v>
      </c>
      <c r="E59" s="1" t="s">
        <v>78</v>
      </c>
      <c r="F59" s="1" t="s">
        <v>169</v>
      </c>
      <c r="G59" s="1" t="s">
        <v>221</v>
      </c>
      <c r="H59" s="1">
        <v>26</v>
      </c>
      <c r="I59" s="3">
        <v>43087</v>
      </c>
      <c r="J59" s="1">
        <v>-3.2572480000000001</v>
      </c>
      <c r="K59" s="1">
        <v>29.555145</v>
      </c>
      <c r="L59" s="1">
        <v>2242</v>
      </c>
      <c r="M59" s="1" t="s">
        <v>64</v>
      </c>
      <c r="N59" s="1" t="s">
        <v>222</v>
      </c>
      <c r="O59" s="88">
        <f>9*11</f>
        <v>99</v>
      </c>
      <c r="P59" s="1">
        <v>3</v>
      </c>
      <c r="Q59" s="1" t="s">
        <v>189</v>
      </c>
      <c r="R59" s="1" t="s">
        <v>56</v>
      </c>
      <c r="S59" s="1" t="s">
        <v>57</v>
      </c>
      <c r="T59" s="9">
        <v>0</v>
      </c>
      <c r="U59" s="9" t="s">
        <v>64</v>
      </c>
      <c r="V59" s="94" t="s">
        <v>64</v>
      </c>
      <c r="W59" s="57">
        <v>1</v>
      </c>
      <c r="X59" s="57">
        <f>3/20*100</f>
        <v>15</v>
      </c>
      <c r="Y59" s="104">
        <f>AVERAGE(1,5,1,0,0,0,0,0,0,0,0,0,0,0,0,0,0,0,0,0)</f>
        <v>0.35</v>
      </c>
      <c r="Z59" s="9">
        <v>1</v>
      </c>
      <c r="AA59" s="9">
        <f>AVERAGE(2,2,1,0,0,0,0,0,0,0,0,0,0,0,0,0,0,0,0,0)</f>
        <v>0.25</v>
      </c>
      <c r="AB59" s="10" t="s">
        <v>84</v>
      </c>
      <c r="AC59" s="11">
        <f>1/20*100</f>
        <v>5</v>
      </c>
      <c r="AD59" s="9">
        <f>AVERAGE(1,1,0,0,0,0,0,0,0,0,0,0,0,0,0,0,0,0,0,0)</f>
        <v>0.1</v>
      </c>
      <c r="AE59" s="1" t="s">
        <v>223</v>
      </c>
      <c r="AF59" s="1" t="s">
        <v>224</v>
      </c>
      <c r="AG59" s="1">
        <v>0</v>
      </c>
      <c r="AH59" s="1" t="s">
        <v>61</v>
      </c>
      <c r="AI59" s="1" t="s">
        <v>61</v>
      </c>
      <c r="AP59" s="117">
        <v>0</v>
      </c>
      <c r="AQ59" s="117" t="s">
        <v>64</v>
      </c>
      <c r="AR59" s="117">
        <v>1</v>
      </c>
      <c r="AS59" s="122">
        <v>5</v>
      </c>
      <c r="AT59" s="1">
        <v>1</v>
      </c>
      <c r="AU59" s="1">
        <f>AVERAGE(2,2,1,1,2,2,1,2,1,1,2,1,1,1,1,1,1,1,2,2)/5*100</f>
        <v>27.999999999999996</v>
      </c>
    </row>
    <row r="60" spans="1:47" ht="29.1">
      <c r="A60" s="1" t="s">
        <v>47</v>
      </c>
      <c r="B60" s="1" t="s">
        <v>144</v>
      </c>
      <c r="C60" s="1" t="s">
        <v>49</v>
      </c>
      <c r="D60" s="1" t="s">
        <v>183</v>
      </c>
      <c r="E60" s="1" t="s">
        <v>94</v>
      </c>
      <c r="F60" s="1" t="s">
        <v>225</v>
      </c>
      <c r="G60" s="1" t="s">
        <v>95</v>
      </c>
      <c r="H60" s="1">
        <v>4</v>
      </c>
      <c r="I60" s="3">
        <v>43082</v>
      </c>
      <c r="J60" s="1">
        <v>-3.525747</v>
      </c>
      <c r="K60" s="1">
        <v>29.521180000000001</v>
      </c>
      <c r="L60" s="1">
        <v>2254</v>
      </c>
      <c r="M60" s="1" t="s">
        <v>64</v>
      </c>
      <c r="N60" s="1" t="s">
        <v>226</v>
      </c>
      <c r="O60" s="88">
        <f>23*18</f>
        <v>414</v>
      </c>
      <c r="P60" s="1">
        <v>2.5</v>
      </c>
      <c r="Q60" s="1" t="s">
        <v>150</v>
      </c>
      <c r="R60" s="1" t="s">
        <v>56</v>
      </c>
      <c r="S60" s="1" t="s">
        <v>57</v>
      </c>
      <c r="T60" s="9">
        <v>0</v>
      </c>
      <c r="U60" s="9" t="s">
        <v>64</v>
      </c>
      <c r="V60" s="94" t="s">
        <v>64</v>
      </c>
      <c r="W60" s="57">
        <v>1</v>
      </c>
      <c r="X60" s="57">
        <f>9/20*100</f>
        <v>45</v>
      </c>
      <c r="Y60" s="104">
        <f>AVERAGE(1,0,1,4,6,0,0,2,3,0,0,11,0,1,0,0,0,1,0)</f>
        <v>1.5789473684210527</v>
      </c>
      <c r="Z60" s="9">
        <v>0</v>
      </c>
      <c r="AA60" s="9" t="s">
        <v>64</v>
      </c>
      <c r="AB60" s="10" t="s">
        <v>84</v>
      </c>
      <c r="AC60" s="11">
        <f>5/20*100</f>
        <v>25</v>
      </c>
      <c r="AD60" s="9">
        <f>AVERAGE(1,1,1,0,0,0,0,0,0,0,0,0,0,0,0,0,0,0,0)</f>
        <v>0.15789473684210525</v>
      </c>
      <c r="AE60" s="1" t="s">
        <v>115</v>
      </c>
      <c r="AF60" s="1" t="s">
        <v>61</v>
      </c>
      <c r="AG60" s="1">
        <v>1</v>
      </c>
      <c r="AH60" s="1" t="s">
        <v>61</v>
      </c>
      <c r="AI60" s="1" t="s">
        <v>100</v>
      </c>
      <c r="AP60" s="117">
        <v>1</v>
      </c>
      <c r="AQ60" s="117">
        <v>3</v>
      </c>
      <c r="AR60" s="117">
        <v>1</v>
      </c>
      <c r="AS60" s="122">
        <v>5</v>
      </c>
      <c r="AT60" s="1">
        <v>1</v>
      </c>
      <c r="AU60" s="1">
        <f>AVERAGE(2,2,2,2,2,1,1,1,1,1,1,1,1,1,1,1,1,1,1,1)/5*100</f>
        <v>25</v>
      </c>
    </row>
    <row r="61" spans="1:47" ht="29.1">
      <c r="A61" s="1" t="s">
        <v>47</v>
      </c>
      <c r="B61" s="1" t="s">
        <v>144</v>
      </c>
      <c r="C61" s="1" t="s">
        <v>49</v>
      </c>
      <c r="D61" s="1" t="s">
        <v>78</v>
      </c>
      <c r="E61" s="1" t="s">
        <v>78</v>
      </c>
      <c r="F61" s="1" t="s">
        <v>169</v>
      </c>
      <c r="G61" s="1" t="s">
        <v>170</v>
      </c>
      <c r="H61" s="1">
        <v>30</v>
      </c>
      <c r="I61" s="3">
        <v>43087</v>
      </c>
      <c r="J61" s="1">
        <v>-3.3108270000000002</v>
      </c>
      <c r="K61" s="1">
        <v>29.547139999999999</v>
      </c>
      <c r="L61" s="1">
        <v>2260</v>
      </c>
      <c r="M61" s="1" t="s">
        <v>64</v>
      </c>
      <c r="N61" s="1" t="s">
        <v>227</v>
      </c>
      <c r="O61" s="88">
        <f>50*50</f>
        <v>2500</v>
      </c>
      <c r="P61" s="1">
        <v>2</v>
      </c>
      <c r="Q61" s="1" t="s">
        <v>150</v>
      </c>
      <c r="R61" s="1" t="s">
        <v>56</v>
      </c>
      <c r="S61" s="1" t="s">
        <v>57</v>
      </c>
      <c r="T61" s="9">
        <v>0</v>
      </c>
      <c r="U61" s="9" t="s">
        <v>64</v>
      </c>
      <c r="V61" s="94" t="s">
        <v>64</v>
      </c>
      <c r="W61" s="57">
        <v>1</v>
      </c>
      <c r="X61" s="57">
        <f>11/20*100</f>
        <v>55.000000000000007</v>
      </c>
      <c r="Y61" s="104">
        <f>AVERAGE(1,0,6,0,5,1,4,1,2,5,1,14,5,0,0,0,0,0,0,0)</f>
        <v>2.25</v>
      </c>
      <c r="Z61" s="9">
        <v>1</v>
      </c>
      <c r="AA61" s="9">
        <f>AVERAGE(1,0,0,0,0,0,0,0,0,0,0,0,0,0,0,0,0,0,0,0)</f>
        <v>0.05</v>
      </c>
      <c r="AB61" s="10" t="s">
        <v>84</v>
      </c>
      <c r="AC61" s="11">
        <f>4/20*100</f>
        <v>20</v>
      </c>
      <c r="AD61" s="9">
        <f>AVERAGE(1,1,1,2,0,0,0,0,0,0,0,0,0,0,0,0,0,0,0,0)</f>
        <v>0.25</v>
      </c>
      <c r="AE61" s="1" t="s">
        <v>172</v>
      </c>
      <c r="AF61" s="1" t="s">
        <v>61</v>
      </c>
      <c r="AG61" s="1">
        <v>2</v>
      </c>
      <c r="AH61" s="1" t="s">
        <v>61</v>
      </c>
      <c r="AI61" s="1" t="s">
        <v>168</v>
      </c>
      <c r="AP61" s="117">
        <v>1</v>
      </c>
      <c r="AQ61" s="117">
        <v>4</v>
      </c>
      <c r="AR61" s="117">
        <v>1</v>
      </c>
      <c r="AS61" s="122">
        <v>5</v>
      </c>
      <c r="AT61" s="1">
        <v>1</v>
      </c>
      <c r="AU61" s="1">
        <f>AVERAGE(1,1,1,1,1,2,2,2,2,2,2,2,2,2,2,2,2,2,2,2)/5*100</f>
        <v>35</v>
      </c>
    </row>
    <row r="62" spans="1:47" ht="29.1">
      <c r="A62" s="1" t="s">
        <v>47</v>
      </c>
      <c r="B62" s="1" t="s">
        <v>144</v>
      </c>
      <c r="C62" s="1" t="s">
        <v>49</v>
      </c>
      <c r="D62" s="1" t="s">
        <v>174</v>
      </c>
      <c r="E62" s="1" t="s">
        <v>94</v>
      </c>
      <c r="F62" s="1" t="s">
        <v>96</v>
      </c>
      <c r="G62" s="1" t="s">
        <v>95</v>
      </c>
      <c r="H62" s="1">
        <v>3</v>
      </c>
      <c r="I62" s="3">
        <v>43082</v>
      </c>
      <c r="J62" s="1">
        <v>-3.5165419999999998</v>
      </c>
      <c r="K62" s="1">
        <v>29.525319</v>
      </c>
      <c r="L62" s="1">
        <v>2266</v>
      </c>
      <c r="M62" s="1" t="s">
        <v>64</v>
      </c>
      <c r="N62" s="1" t="s">
        <v>228</v>
      </c>
      <c r="O62" s="88">
        <f>67*18</f>
        <v>1206</v>
      </c>
      <c r="P62" s="1">
        <v>1.5</v>
      </c>
      <c r="Q62" s="1" t="s">
        <v>150</v>
      </c>
      <c r="R62" s="1" t="s">
        <v>56</v>
      </c>
      <c r="S62" s="1" t="s">
        <v>57</v>
      </c>
      <c r="T62" s="9">
        <v>0</v>
      </c>
      <c r="U62" s="9" t="s">
        <v>64</v>
      </c>
      <c r="V62" s="94" t="s">
        <v>64</v>
      </c>
      <c r="W62" s="57">
        <v>1</v>
      </c>
      <c r="X62" s="57">
        <v>90</v>
      </c>
      <c r="Y62" s="104">
        <f>AVERAGE(0,25,4,20,93,67,100,50,50)</f>
        <v>45.444444444444443</v>
      </c>
      <c r="Z62" s="9">
        <v>0</v>
      </c>
      <c r="AA62" s="9" t="s">
        <v>64</v>
      </c>
      <c r="AB62" s="10" t="s">
        <v>84</v>
      </c>
      <c r="AC62" s="11">
        <f>4/10*100</f>
        <v>40</v>
      </c>
      <c r="AD62" s="9">
        <f>AVERAGE(1,1,1,0,0,0,0,0,0,0)</f>
        <v>0.3</v>
      </c>
      <c r="AE62" s="1" t="s">
        <v>115</v>
      </c>
      <c r="AF62" s="1" t="s">
        <v>61</v>
      </c>
      <c r="AG62" s="1">
        <v>3</v>
      </c>
      <c r="AH62" s="1" t="s">
        <v>61</v>
      </c>
      <c r="AI62" s="1" t="s">
        <v>187</v>
      </c>
      <c r="AP62" s="117">
        <v>1</v>
      </c>
      <c r="AQ62" s="117">
        <v>4</v>
      </c>
      <c r="AR62" s="117">
        <v>1</v>
      </c>
      <c r="AS62" s="122">
        <v>5</v>
      </c>
      <c r="AT62" s="1">
        <v>0</v>
      </c>
      <c r="AU62" s="1" t="s">
        <v>64</v>
      </c>
    </row>
    <row r="63" spans="1:47" ht="29.1">
      <c r="A63" s="1" t="s">
        <v>47</v>
      </c>
      <c r="B63" s="1" t="s">
        <v>144</v>
      </c>
      <c r="C63" s="1" t="s">
        <v>49</v>
      </c>
      <c r="D63" s="1" t="s">
        <v>174</v>
      </c>
      <c r="E63" s="1" t="s">
        <v>70</v>
      </c>
      <c r="F63" s="1" t="s">
        <v>71</v>
      </c>
      <c r="G63" s="1" t="s">
        <v>212</v>
      </c>
      <c r="H63" s="1">
        <v>14</v>
      </c>
      <c r="I63" s="3">
        <v>43084</v>
      </c>
      <c r="J63" s="1">
        <v>-3.4701249999999999</v>
      </c>
      <c r="K63" s="1">
        <v>29.531488</v>
      </c>
      <c r="L63" s="1">
        <v>2269</v>
      </c>
      <c r="M63" s="1" t="s">
        <v>64</v>
      </c>
      <c r="N63" s="1" t="s">
        <v>229</v>
      </c>
      <c r="O63" s="88">
        <f>13*36</f>
        <v>468</v>
      </c>
      <c r="P63" s="1">
        <v>2</v>
      </c>
      <c r="Q63" s="1" t="s">
        <v>150</v>
      </c>
      <c r="R63" s="1" t="s">
        <v>56</v>
      </c>
      <c r="S63" s="1" t="s">
        <v>57</v>
      </c>
      <c r="T63" s="9">
        <v>1</v>
      </c>
      <c r="U63" s="9" t="s">
        <v>64</v>
      </c>
      <c r="V63" s="94" t="s">
        <v>64</v>
      </c>
      <c r="W63" s="57">
        <v>2</v>
      </c>
      <c r="X63" s="57">
        <f>2/10*100</f>
        <v>20</v>
      </c>
      <c r="Y63" s="104">
        <f>AVERAGE(2,7,0,0,0,0,0,0,0,0)</f>
        <v>0.9</v>
      </c>
      <c r="Z63" s="9">
        <v>1</v>
      </c>
      <c r="AA63" s="9" t="s">
        <v>64</v>
      </c>
      <c r="AB63" s="10" t="s">
        <v>230</v>
      </c>
      <c r="AC63" s="11">
        <f>3/10*100</f>
        <v>30</v>
      </c>
      <c r="AD63" s="9">
        <f>AVERAGE(1,1,1,0,0,0,0,0,0,0)</f>
        <v>0.3</v>
      </c>
      <c r="AE63" s="1" t="s">
        <v>231</v>
      </c>
      <c r="AF63" s="1" t="s">
        <v>61</v>
      </c>
      <c r="AG63" s="1">
        <v>2</v>
      </c>
      <c r="AH63" s="1" t="s">
        <v>64</v>
      </c>
      <c r="AI63" s="1" t="s">
        <v>64</v>
      </c>
      <c r="AP63" s="1">
        <v>1</v>
      </c>
      <c r="AQ63" s="1">
        <v>5</v>
      </c>
      <c r="AR63" s="1">
        <v>1</v>
      </c>
      <c r="AS63" s="108">
        <v>3</v>
      </c>
      <c r="AT63" s="1">
        <v>1</v>
      </c>
      <c r="AU63" s="1">
        <f>AVERAGE(2,2,2,2,2,2,3,2,2,2,2,2,2,2,2,2,2,2,2,2)/5*100</f>
        <v>41</v>
      </c>
    </row>
    <row r="64" spans="1:47" ht="29.1">
      <c r="A64" s="1" t="s">
        <v>47</v>
      </c>
      <c r="B64" s="1" t="s">
        <v>144</v>
      </c>
      <c r="C64" s="1" t="s">
        <v>49</v>
      </c>
      <c r="D64" s="1" t="s">
        <v>183</v>
      </c>
      <c r="E64" s="1" t="s">
        <v>70</v>
      </c>
      <c r="F64" s="1" t="s">
        <v>232</v>
      </c>
      <c r="G64" s="1" t="s">
        <v>101</v>
      </c>
      <c r="H64" s="1">
        <v>16</v>
      </c>
      <c r="I64" s="3">
        <v>43085</v>
      </c>
      <c r="J64" s="1">
        <v>-3.446526</v>
      </c>
      <c r="K64" s="1">
        <v>29.534663999999999</v>
      </c>
      <c r="L64" s="1">
        <v>2269</v>
      </c>
      <c r="M64" s="1">
        <v>71144460</v>
      </c>
      <c r="N64" s="1" t="s">
        <v>233</v>
      </c>
      <c r="O64" s="88">
        <f>12*13</f>
        <v>156</v>
      </c>
      <c r="P64" s="1">
        <v>3.5</v>
      </c>
      <c r="Q64" s="1" t="s">
        <v>55</v>
      </c>
      <c r="R64" s="1" t="s">
        <v>56</v>
      </c>
      <c r="S64" s="1" t="s">
        <v>57</v>
      </c>
      <c r="T64" s="9">
        <v>0</v>
      </c>
      <c r="U64" s="9" t="s">
        <v>64</v>
      </c>
      <c r="V64" s="94" t="s">
        <v>64</v>
      </c>
      <c r="W64" s="57">
        <v>1</v>
      </c>
      <c r="X64" s="57">
        <f>1/10*100</f>
        <v>10</v>
      </c>
      <c r="Y64" s="104">
        <f>AVERAGE(2,0,0,0,0,0,0,0,0,0)</f>
        <v>0.2</v>
      </c>
      <c r="Z64" s="9">
        <v>0</v>
      </c>
      <c r="AA64" s="9" t="s">
        <v>64</v>
      </c>
      <c r="AB64" s="10" t="s">
        <v>58</v>
      </c>
      <c r="AC64" s="11" t="s">
        <v>64</v>
      </c>
      <c r="AD64" s="9" t="s">
        <v>64</v>
      </c>
      <c r="AE64" s="1" t="s">
        <v>234</v>
      </c>
      <c r="AF64" s="1" t="s">
        <v>73</v>
      </c>
      <c r="AG64" s="1">
        <v>1</v>
      </c>
      <c r="AH64" s="1" t="s">
        <v>61</v>
      </c>
      <c r="AI64" s="1" t="s">
        <v>235</v>
      </c>
      <c r="AP64" s="1">
        <v>1</v>
      </c>
      <c r="AQ64" s="1">
        <v>5</v>
      </c>
      <c r="AR64" s="1">
        <v>1</v>
      </c>
      <c r="AS64" s="108">
        <v>4</v>
      </c>
      <c r="AT64" s="1">
        <v>1</v>
      </c>
      <c r="AU64" s="1">
        <f>AVERAGE(2,2,2,2,3,2,3,2,2,2,2,2,2,2,2,2,2,2,2,2)/5*100</f>
        <v>42.000000000000007</v>
      </c>
    </row>
    <row r="65" spans="1:47" ht="29.1">
      <c r="A65" s="1" t="s">
        <v>47</v>
      </c>
      <c r="B65" s="1" t="s">
        <v>144</v>
      </c>
      <c r="C65" s="1" t="s">
        <v>49</v>
      </c>
      <c r="D65" s="1" t="s">
        <v>174</v>
      </c>
      <c r="E65" s="1" t="s">
        <v>70</v>
      </c>
      <c r="F65" s="1" t="s">
        <v>236</v>
      </c>
      <c r="G65" s="1" t="s">
        <v>237</v>
      </c>
      <c r="H65" s="1">
        <v>24</v>
      </c>
      <c r="I65" s="3">
        <v>43085</v>
      </c>
      <c r="J65" s="1">
        <v>-3.3963450000000002</v>
      </c>
      <c r="K65" s="1">
        <v>29.550895000000001</v>
      </c>
      <c r="L65" s="1">
        <v>2275</v>
      </c>
      <c r="M65" s="1">
        <v>76175662</v>
      </c>
      <c r="N65" s="1" t="s">
        <v>238</v>
      </c>
      <c r="O65" s="88">
        <f>21*37</f>
        <v>777</v>
      </c>
      <c r="P65" s="1">
        <v>3</v>
      </c>
      <c r="Q65" s="1" t="s">
        <v>189</v>
      </c>
      <c r="R65" s="1" t="s">
        <v>56</v>
      </c>
      <c r="S65" s="1" t="s">
        <v>57</v>
      </c>
      <c r="T65" s="9">
        <v>0</v>
      </c>
      <c r="U65" s="9" t="s">
        <v>64</v>
      </c>
      <c r="V65" s="94" t="s">
        <v>64</v>
      </c>
      <c r="W65" s="57">
        <v>1</v>
      </c>
      <c r="X65" s="57">
        <f>5/20*100</f>
        <v>25</v>
      </c>
      <c r="Y65" s="104">
        <f>AVERAGE(42,1,0,9,0,0,0,17,0,9,0,0,0,0,0,0,0,0,0,0)</f>
        <v>3.9</v>
      </c>
      <c r="Z65" s="9">
        <v>0</v>
      </c>
      <c r="AA65" s="9" t="s">
        <v>64</v>
      </c>
      <c r="AB65" s="10" t="s">
        <v>84</v>
      </c>
      <c r="AC65" s="11">
        <f>4/20*100</f>
        <v>20</v>
      </c>
      <c r="AD65" s="9">
        <f>AVERAGE(1,1,1,0,0,0,0,0,0,0,0,0,0,0,0,0,0,0,0,0)</f>
        <v>0.15</v>
      </c>
      <c r="AE65" s="1" t="s">
        <v>152</v>
      </c>
      <c r="AF65" s="1" t="s">
        <v>73</v>
      </c>
      <c r="AG65" s="1">
        <v>1</v>
      </c>
      <c r="AH65" s="1" t="s">
        <v>61</v>
      </c>
      <c r="AI65" s="1" t="s">
        <v>61</v>
      </c>
      <c r="AP65" s="1">
        <v>0</v>
      </c>
      <c r="AQ65" s="1" t="s">
        <v>64</v>
      </c>
      <c r="AR65" s="1">
        <v>1</v>
      </c>
      <c r="AS65" s="108">
        <v>5</v>
      </c>
      <c r="AT65" s="1">
        <v>1</v>
      </c>
      <c r="AU65" s="1">
        <f>AVERAGE(2,2,2,2,2,2,2,2,2,2,2,2,2,2,2,2,2,2,2,2)</f>
        <v>2</v>
      </c>
    </row>
    <row r="66" spans="1:47" ht="29.1">
      <c r="A66" s="1" t="s">
        <v>47</v>
      </c>
      <c r="B66" s="1" t="s">
        <v>144</v>
      </c>
      <c r="C66" s="1" t="s">
        <v>49</v>
      </c>
      <c r="D66" s="1" t="s">
        <v>174</v>
      </c>
      <c r="E66" s="1" t="s">
        <v>94</v>
      </c>
      <c r="F66" s="1" t="s">
        <v>225</v>
      </c>
      <c r="G66" s="1" t="s">
        <v>95</v>
      </c>
      <c r="H66" s="1">
        <v>6</v>
      </c>
      <c r="I66" s="3">
        <v>43082</v>
      </c>
      <c r="J66" s="1">
        <v>-3.562859</v>
      </c>
      <c r="K66" s="1">
        <v>29.520274000000001</v>
      </c>
      <c r="L66" s="1">
        <v>2285</v>
      </c>
      <c r="M66" s="1" t="s">
        <v>64</v>
      </c>
      <c r="N66" s="1" t="s">
        <v>239</v>
      </c>
      <c r="O66" s="88">
        <f>22*38</f>
        <v>836</v>
      </c>
      <c r="P66" s="1">
        <v>2</v>
      </c>
      <c r="Q66" s="1" t="s">
        <v>150</v>
      </c>
      <c r="R66" s="1" t="s">
        <v>56</v>
      </c>
      <c r="S66" s="1" t="s">
        <v>57</v>
      </c>
      <c r="T66" s="9">
        <v>0</v>
      </c>
      <c r="U66" s="9" t="s">
        <v>64</v>
      </c>
      <c r="V66" s="94" t="s">
        <v>64</v>
      </c>
      <c r="W66" s="57">
        <v>1</v>
      </c>
      <c r="X66" s="57">
        <f>8/20*100</f>
        <v>40</v>
      </c>
      <c r="Y66" s="104">
        <f>AVERAGE(1,17,1,1,7,17,2,2,0,0,0,0,0,0,0,0,0,0,0)</f>
        <v>2.5263157894736841</v>
      </c>
      <c r="Z66" s="9">
        <v>0</v>
      </c>
      <c r="AA66" s="9" t="s">
        <v>64</v>
      </c>
      <c r="AB66" s="10" t="s">
        <v>84</v>
      </c>
      <c r="AC66" s="11">
        <f>2/20*100</f>
        <v>10</v>
      </c>
      <c r="AD66" s="9">
        <f>AVERAGE(1,1,1,0,0,0,0,0,0,0,0,0,0,0,0,0,0,0,0)</f>
        <v>0.15789473684210525</v>
      </c>
      <c r="AE66" s="1" t="s">
        <v>182</v>
      </c>
      <c r="AF66" s="1" t="s">
        <v>61</v>
      </c>
      <c r="AG66" s="1">
        <v>0</v>
      </c>
      <c r="AH66" s="1" t="s">
        <v>61</v>
      </c>
      <c r="AI66" s="1" t="s">
        <v>100</v>
      </c>
      <c r="AP66" s="1">
        <v>1</v>
      </c>
      <c r="AQ66" s="1">
        <v>4</v>
      </c>
      <c r="AR66" s="1">
        <v>1</v>
      </c>
      <c r="AS66" s="108">
        <v>5</v>
      </c>
      <c r="AT66" s="1">
        <v>1</v>
      </c>
      <c r="AU66" s="1">
        <f>AVERAGE(2,2,1,1,1,2,1,1,1,1,2,1,1,1,2,2,2,1,1,1)/5*100</f>
        <v>27</v>
      </c>
    </row>
    <row r="67" spans="1:47" ht="29.1">
      <c r="A67" s="1" t="s">
        <v>47</v>
      </c>
      <c r="B67" s="1" t="s">
        <v>144</v>
      </c>
      <c r="C67" s="1" t="s">
        <v>49</v>
      </c>
      <c r="D67" s="1" t="s">
        <v>174</v>
      </c>
      <c r="E67" s="1" t="s">
        <v>70</v>
      </c>
      <c r="F67" s="1" t="s">
        <v>203</v>
      </c>
      <c r="G67" s="1" t="s">
        <v>212</v>
      </c>
      <c r="H67" s="1">
        <v>12</v>
      </c>
      <c r="I67" s="3">
        <v>43084</v>
      </c>
      <c r="J67" s="1">
        <v>-3.485868</v>
      </c>
      <c r="K67" s="1">
        <v>29.545950000000001</v>
      </c>
      <c r="L67" s="1">
        <v>2286</v>
      </c>
      <c r="M67" s="1">
        <v>71190859</v>
      </c>
      <c r="N67" s="1" t="s">
        <v>240</v>
      </c>
      <c r="O67" s="88">
        <f>7*30</f>
        <v>210</v>
      </c>
      <c r="P67" s="1">
        <v>2</v>
      </c>
      <c r="Q67" s="1" t="s">
        <v>150</v>
      </c>
      <c r="R67" s="1" t="s">
        <v>56</v>
      </c>
      <c r="S67" s="1" t="s">
        <v>57</v>
      </c>
      <c r="T67" s="9">
        <v>0</v>
      </c>
      <c r="U67" s="9" t="s">
        <v>64</v>
      </c>
      <c r="V67" s="94" t="s">
        <v>64</v>
      </c>
      <c r="W67" s="57">
        <v>1</v>
      </c>
      <c r="X67" s="57">
        <f>4/10*100</f>
        <v>40</v>
      </c>
      <c r="Y67" s="104">
        <f>AVERAGE(8,6,0,0,0,0,0,2,0,3)</f>
        <v>1.9</v>
      </c>
      <c r="Z67" s="9">
        <v>0</v>
      </c>
      <c r="AA67" s="9" t="s">
        <v>64</v>
      </c>
      <c r="AB67" s="10" t="s">
        <v>84</v>
      </c>
      <c r="AC67" s="11">
        <v>10</v>
      </c>
      <c r="AD67" s="9">
        <f>AVERAGE(1,0,0,0,0,0,0,0,0,0)</f>
        <v>0.1</v>
      </c>
      <c r="AE67" s="1" t="s">
        <v>172</v>
      </c>
      <c r="AF67" s="1" t="s">
        <v>73</v>
      </c>
      <c r="AG67" s="1">
        <v>1</v>
      </c>
      <c r="AH67" s="1" t="s">
        <v>61</v>
      </c>
      <c r="AI67" s="1" t="s">
        <v>241</v>
      </c>
      <c r="AP67" s="1">
        <v>1</v>
      </c>
      <c r="AQ67" s="1">
        <v>3</v>
      </c>
      <c r="AR67" s="1">
        <v>1</v>
      </c>
      <c r="AS67" s="108">
        <v>5</v>
      </c>
      <c r="AT67" s="1">
        <v>1</v>
      </c>
      <c r="AU67" s="1">
        <f>AVERAGE(2,2,1,2,2,2,2,2,3,2,2,2,2,2,2,3,1,3,2,1)/5*100</f>
        <v>40</v>
      </c>
    </row>
    <row r="68" spans="1:47" ht="29.1">
      <c r="A68" s="1" t="s">
        <v>47</v>
      </c>
      <c r="B68" s="1" t="s">
        <v>144</v>
      </c>
      <c r="C68" s="1" t="s">
        <v>49</v>
      </c>
      <c r="D68" s="1" t="s">
        <v>174</v>
      </c>
      <c r="E68" s="1" t="s">
        <v>70</v>
      </c>
      <c r="F68" s="1" t="s">
        <v>71</v>
      </c>
      <c r="G68" s="1" t="s">
        <v>212</v>
      </c>
      <c r="H68" s="1">
        <v>15</v>
      </c>
      <c r="I68" s="3">
        <v>43084</v>
      </c>
      <c r="J68" s="1">
        <v>-3.4645060000000001</v>
      </c>
      <c r="K68" s="1">
        <v>29.548102</v>
      </c>
      <c r="L68" s="1">
        <v>2289</v>
      </c>
      <c r="M68" s="1">
        <v>79344913</v>
      </c>
      <c r="N68" s="1" t="s">
        <v>242</v>
      </c>
      <c r="O68" s="88">
        <f>6*13</f>
        <v>78</v>
      </c>
      <c r="P68" s="1">
        <v>3</v>
      </c>
      <c r="Q68" s="1" t="s">
        <v>189</v>
      </c>
      <c r="R68" s="1" t="s">
        <v>56</v>
      </c>
      <c r="S68" s="1" t="s">
        <v>57</v>
      </c>
      <c r="T68" s="9">
        <v>0</v>
      </c>
      <c r="U68" s="9" t="s">
        <v>64</v>
      </c>
      <c r="V68" s="94" t="s">
        <v>64</v>
      </c>
      <c r="W68" s="57">
        <v>1</v>
      </c>
      <c r="X68" s="57">
        <f>1/10*100</f>
        <v>10</v>
      </c>
      <c r="Y68" s="104">
        <f>AVERAGE(2,0,0,0,0,0,0,0,0,0)</f>
        <v>0.2</v>
      </c>
      <c r="Z68" s="9">
        <v>0</v>
      </c>
      <c r="AA68" s="9" t="s">
        <v>64</v>
      </c>
      <c r="AB68" s="10" t="s">
        <v>84</v>
      </c>
      <c r="AC68" s="11">
        <f>1/10*100</f>
        <v>10</v>
      </c>
      <c r="AD68" s="9">
        <f>AVERAGE(1,0,0,0,0,0,0,0,0,0)</f>
        <v>0.1</v>
      </c>
      <c r="AE68" s="1" t="s">
        <v>243</v>
      </c>
      <c r="AF68" s="1" t="s">
        <v>61</v>
      </c>
      <c r="AG68" s="1">
        <v>0</v>
      </c>
      <c r="AH68" s="1" t="s">
        <v>61</v>
      </c>
      <c r="AI68" s="1" t="s">
        <v>100</v>
      </c>
      <c r="AP68" s="1">
        <v>1</v>
      </c>
      <c r="AQ68" s="1">
        <v>4</v>
      </c>
      <c r="AR68" s="1">
        <v>1</v>
      </c>
      <c r="AS68" s="108">
        <v>4</v>
      </c>
      <c r="AT68" s="1">
        <v>1</v>
      </c>
      <c r="AU68" s="1">
        <f>AVERAGE(3,3,3,2,2,3,3,2,2,2,2,2,2,2,2,2,3,3,3,3)/5*100</f>
        <v>49.000000000000007</v>
      </c>
    </row>
    <row r="69" spans="1:47" ht="29.1">
      <c r="A69" s="1" t="s">
        <v>47</v>
      </c>
      <c r="B69" s="1" t="s">
        <v>144</v>
      </c>
      <c r="C69" s="1" t="s">
        <v>49</v>
      </c>
      <c r="D69" s="1" t="s">
        <v>174</v>
      </c>
      <c r="E69" s="1" t="s">
        <v>70</v>
      </c>
      <c r="F69" s="1" t="s">
        <v>126</v>
      </c>
      <c r="G69" s="1" t="s">
        <v>212</v>
      </c>
      <c r="H69" s="1">
        <v>13</v>
      </c>
      <c r="I69" s="3">
        <v>43084</v>
      </c>
      <c r="J69" s="1">
        <v>-3.4765820000000001</v>
      </c>
      <c r="K69" s="1">
        <v>29.548662</v>
      </c>
      <c r="L69" s="1">
        <v>2290</v>
      </c>
      <c r="M69" s="1" t="s">
        <v>64</v>
      </c>
      <c r="N69" s="1" t="s">
        <v>244</v>
      </c>
      <c r="O69" s="88">
        <f>17*10</f>
        <v>170</v>
      </c>
      <c r="P69" s="1">
        <v>2</v>
      </c>
      <c r="Q69" s="1" t="s">
        <v>150</v>
      </c>
      <c r="R69" s="1" t="s">
        <v>56</v>
      </c>
      <c r="S69" s="1" t="s">
        <v>57</v>
      </c>
      <c r="T69" s="9">
        <v>0</v>
      </c>
      <c r="U69" s="9" t="s">
        <v>64</v>
      </c>
      <c r="V69" s="94" t="s">
        <v>64</v>
      </c>
      <c r="W69" s="57">
        <v>1</v>
      </c>
      <c r="X69" s="57">
        <f>5/10*100</f>
        <v>50</v>
      </c>
      <c r="Y69" s="104">
        <f>AVERAGE(0,2,14,0,1,2,0,0,2,0)</f>
        <v>2.1</v>
      </c>
      <c r="Z69" s="9">
        <v>1</v>
      </c>
      <c r="AA69" s="9">
        <f>AVERAGE(1,0,0,0,0,0,0,0,0,0)</f>
        <v>0.1</v>
      </c>
      <c r="AB69" s="10" t="s">
        <v>84</v>
      </c>
      <c r="AC69" s="11">
        <f>1/10*100</f>
        <v>10</v>
      </c>
      <c r="AD69" s="9">
        <f>AVERAGE(1,0,0,0,0,0,0,0,0,0)</f>
        <v>0.1</v>
      </c>
      <c r="AE69" s="1" t="s">
        <v>152</v>
      </c>
      <c r="AF69" s="1" t="s">
        <v>245</v>
      </c>
      <c r="AG69" s="1">
        <v>3</v>
      </c>
      <c r="AH69" s="1" t="s">
        <v>61</v>
      </c>
      <c r="AI69" s="1" t="s">
        <v>61</v>
      </c>
      <c r="AP69" s="1">
        <v>0</v>
      </c>
      <c r="AQ69" s="1" t="s">
        <v>64</v>
      </c>
      <c r="AR69" s="1">
        <v>1</v>
      </c>
      <c r="AS69" s="108">
        <v>5</v>
      </c>
      <c r="AT69" s="1">
        <v>1</v>
      </c>
      <c r="AU69" s="1">
        <f>AVERAGE(2,2,2,2,2,1,2,2,2,3,1,2,1,1,1,1,1,1,1,1)/5*100</f>
        <v>31</v>
      </c>
    </row>
    <row r="70" spans="1:47" ht="29.1">
      <c r="A70" s="1" t="s">
        <v>47</v>
      </c>
      <c r="B70" s="1" t="s">
        <v>144</v>
      </c>
      <c r="C70" s="1" t="s">
        <v>49</v>
      </c>
      <c r="D70" s="1" t="s">
        <v>174</v>
      </c>
      <c r="E70" s="1" t="s">
        <v>70</v>
      </c>
      <c r="F70" s="1" t="s">
        <v>101</v>
      </c>
      <c r="G70" s="1" t="s">
        <v>101</v>
      </c>
      <c r="H70" s="1">
        <v>23</v>
      </c>
      <c r="I70" s="3">
        <v>43085</v>
      </c>
      <c r="J70" s="1">
        <v>-3.4146269999999999</v>
      </c>
      <c r="K70" s="1">
        <v>29.567425</v>
      </c>
      <c r="L70" s="1">
        <v>2297</v>
      </c>
      <c r="M70" s="1" t="s">
        <v>64</v>
      </c>
      <c r="N70" s="1" t="s">
        <v>246</v>
      </c>
      <c r="O70" s="88">
        <f>13*24</f>
        <v>312</v>
      </c>
      <c r="P70" s="1">
        <v>3</v>
      </c>
      <c r="Q70" s="1" t="s">
        <v>189</v>
      </c>
      <c r="R70" s="1" t="s">
        <v>56</v>
      </c>
      <c r="S70" s="1" t="s">
        <v>57</v>
      </c>
      <c r="T70" s="9">
        <v>0</v>
      </c>
      <c r="U70" s="9" t="s">
        <v>64</v>
      </c>
      <c r="V70" s="94" t="s">
        <v>64</v>
      </c>
      <c r="W70" s="57">
        <v>1</v>
      </c>
      <c r="X70" s="57">
        <f>12/20*100</f>
        <v>60</v>
      </c>
      <c r="Y70" s="104">
        <f>AVERAGE(0,7,1,9,0,4,0,1,0,1,1,8,3,1,2,11,0,0,0,0)</f>
        <v>2.4500000000000002</v>
      </c>
      <c r="Z70" s="9">
        <v>0</v>
      </c>
      <c r="AA70" s="9" t="s">
        <v>64</v>
      </c>
      <c r="AB70" s="10" t="s">
        <v>58</v>
      </c>
      <c r="AC70" s="11" t="s">
        <v>64</v>
      </c>
      <c r="AD70" s="9" t="s">
        <v>64</v>
      </c>
      <c r="AE70" s="1" t="s">
        <v>172</v>
      </c>
      <c r="AF70" s="1" t="s">
        <v>61</v>
      </c>
      <c r="AG70" s="1">
        <v>1</v>
      </c>
      <c r="AH70" s="1" t="s">
        <v>61</v>
      </c>
      <c r="AI70" s="1" t="s">
        <v>61</v>
      </c>
      <c r="AP70" s="1">
        <v>1</v>
      </c>
      <c r="AQ70" s="1">
        <v>4</v>
      </c>
      <c r="AR70" s="1">
        <v>1</v>
      </c>
      <c r="AS70" s="108">
        <v>6</v>
      </c>
      <c r="AT70" s="1">
        <v>1</v>
      </c>
      <c r="AU70" s="1">
        <f>AVERAGE(3,2,3,2,3,2,2,2,2,2,2,2,2,2,2,2,2,2,2,2)/5*100</f>
        <v>43</v>
      </c>
    </row>
    <row r="71" spans="1:47" ht="29.1">
      <c r="A71" s="1" t="s">
        <v>47</v>
      </c>
      <c r="B71" s="1" t="s">
        <v>144</v>
      </c>
      <c r="C71" s="1" t="s">
        <v>49</v>
      </c>
      <c r="D71" s="1" t="s">
        <v>183</v>
      </c>
      <c r="E71" s="1" t="s">
        <v>94</v>
      </c>
      <c r="F71" s="1" t="s">
        <v>120</v>
      </c>
      <c r="G71" s="1" t="s">
        <v>120</v>
      </c>
      <c r="H71" s="1">
        <v>7</v>
      </c>
      <c r="I71" s="3">
        <v>43083</v>
      </c>
      <c r="J71" s="1">
        <v>-3.5721029999999998</v>
      </c>
      <c r="K71" s="1">
        <v>29.518013</v>
      </c>
      <c r="L71" s="1">
        <v>2300</v>
      </c>
      <c r="M71" s="1" t="s">
        <v>64</v>
      </c>
      <c r="N71" s="1" t="s">
        <v>57</v>
      </c>
      <c r="O71" s="88">
        <f>80*36</f>
        <v>2880</v>
      </c>
      <c r="P71" s="1">
        <v>2</v>
      </c>
      <c r="Q71" s="1" t="s">
        <v>150</v>
      </c>
      <c r="R71" s="1" t="s">
        <v>56</v>
      </c>
      <c r="S71" s="1" t="s">
        <v>57</v>
      </c>
      <c r="T71" s="9">
        <v>0</v>
      </c>
      <c r="U71" s="9" t="s">
        <v>64</v>
      </c>
      <c r="V71" s="94" t="s">
        <v>64</v>
      </c>
      <c r="W71" s="57">
        <v>1</v>
      </c>
      <c r="X71" s="57">
        <f>3/20*100</f>
        <v>15</v>
      </c>
      <c r="Y71" s="104">
        <f>AVERAGE(10,1,1,0,0,0,0,0,0,0,0,0,0,0,0,0,0,0,0)</f>
        <v>0.63157894736842102</v>
      </c>
      <c r="Z71" s="9">
        <v>0</v>
      </c>
      <c r="AA71" s="9" t="s">
        <v>64</v>
      </c>
      <c r="AB71" s="10" t="s">
        <v>84</v>
      </c>
      <c r="AC71" s="11">
        <f>2/20*100</f>
        <v>10</v>
      </c>
      <c r="AD71" s="9">
        <f>AVERAGE(1,1,0,0,0,0,0,0,0,0,0,0,0,0,0,0,0,0,0)</f>
        <v>0.10526315789473684</v>
      </c>
      <c r="AE71" s="1" t="s">
        <v>182</v>
      </c>
      <c r="AF71" s="1" t="s">
        <v>61</v>
      </c>
      <c r="AG71" s="1">
        <v>2</v>
      </c>
      <c r="AH71" s="1" t="s">
        <v>61</v>
      </c>
      <c r="AI71" s="1" t="s">
        <v>100</v>
      </c>
      <c r="AP71" s="1">
        <v>1</v>
      </c>
      <c r="AQ71" s="1">
        <v>4</v>
      </c>
      <c r="AR71" s="1">
        <v>1</v>
      </c>
      <c r="AS71" s="108">
        <v>5</v>
      </c>
      <c r="AT71" s="1">
        <v>1</v>
      </c>
      <c r="AU71" s="1">
        <f>AVERAGE(2,2,2,2,1,1,2,1,2,2,1,2,1,2,1,2,1,2,1,1)/5*100</f>
        <v>31</v>
      </c>
    </row>
    <row r="72" spans="1:47" ht="29.1">
      <c r="A72" s="1" t="s">
        <v>47</v>
      </c>
      <c r="B72" s="1" t="s">
        <v>144</v>
      </c>
      <c r="C72" s="1" t="s">
        <v>49</v>
      </c>
      <c r="D72" s="1" t="s">
        <v>174</v>
      </c>
      <c r="E72" s="1" t="s">
        <v>70</v>
      </c>
      <c r="F72" s="1" t="s">
        <v>247</v>
      </c>
      <c r="G72" s="1" t="s">
        <v>101</v>
      </c>
      <c r="H72" s="1">
        <v>18</v>
      </c>
      <c r="I72" s="3">
        <v>43085</v>
      </c>
      <c r="J72" s="1">
        <v>-3.4493689999999999</v>
      </c>
      <c r="K72" s="1">
        <v>29.508793000000001</v>
      </c>
      <c r="L72" s="1">
        <v>2331</v>
      </c>
      <c r="M72" s="1">
        <v>71069787</v>
      </c>
      <c r="N72" s="1" t="s">
        <v>248</v>
      </c>
      <c r="O72" s="88">
        <f>23*12</f>
        <v>276</v>
      </c>
      <c r="P72" s="1">
        <v>3</v>
      </c>
      <c r="Q72" s="1" t="s">
        <v>189</v>
      </c>
      <c r="R72" s="1" t="s">
        <v>56</v>
      </c>
      <c r="S72" s="1" t="s">
        <v>57</v>
      </c>
      <c r="T72" s="9">
        <v>0</v>
      </c>
      <c r="U72" s="9" t="s">
        <v>64</v>
      </c>
      <c r="V72" s="94" t="s">
        <v>64</v>
      </c>
      <c r="W72" s="57">
        <v>0</v>
      </c>
      <c r="X72" s="57" t="s">
        <v>64</v>
      </c>
      <c r="Y72" s="104" t="s">
        <v>64</v>
      </c>
      <c r="Z72" s="9">
        <v>0</v>
      </c>
      <c r="AA72" s="9" t="s">
        <v>64</v>
      </c>
      <c r="AB72" s="10" t="s">
        <v>84</v>
      </c>
      <c r="AC72" s="11">
        <f>1/10*100</f>
        <v>10</v>
      </c>
      <c r="AD72" s="9">
        <f>AVERAGE(1,0,0,0,0,0,0,0,0,0)</f>
        <v>0.1</v>
      </c>
      <c r="AE72" s="1" t="s">
        <v>172</v>
      </c>
      <c r="AF72" s="1" t="s">
        <v>73</v>
      </c>
      <c r="AG72" s="1">
        <v>1</v>
      </c>
      <c r="AH72" s="1" t="s">
        <v>61</v>
      </c>
      <c r="AI72" s="1" t="s">
        <v>187</v>
      </c>
      <c r="AP72" s="1">
        <v>1</v>
      </c>
      <c r="AQ72" s="1">
        <v>5</v>
      </c>
      <c r="AR72" s="1">
        <v>1</v>
      </c>
      <c r="AS72" s="108">
        <v>4</v>
      </c>
      <c r="AT72" s="1">
        <v>1</v>
      </c>
      <c r="AU72" s="1">
        <f>AVERAGE(3,3,3,3,3,3,3,3,3,3,2,3,2,3,3,2,2,3,3,2)/5*100</f>
        <v>55.000000000000007</v>
      </c>
    </row>
    <row r="73" spans="1:47" ht="29.1">
      <c r="A73" s="1" t="s">
        <v>47</v>
      </c>
      <c r="B73" s="1" t="s">
        <v>144</v>
      </c>
      <c r="C73" s="1" t="s">
        <v>49</v>
      </c>
      <c r="D73" s="1" t="s">
        <v>174</v>
      </c>
      <c r="E73" s="1" t="s">
        <v>94</v>
      </c>
      <c r="F73" s="1" t="s">
        <v>225</v>
      </c>
      <c r="G73" s="1" t="s">
        <v>95</v>
      </c>
      <c r="H73" s="1">
        <v>5</v>
      </c>
      <c r="I73" s="3">
        <v>43082</v>
      </c>
      <c r="J73" s="1">
        <v>-3.548298</v>
      </c>
      <c r="K73" s="1">
        <v>29.512053000000002</v>
      </c>
      <c r="L73" s="1">
        <v>2336</v>
      </c>
      <c r="M73" s="1" t="s">
        <v>64</v>
      </c>
      <c r="N73" s="1" t="s">
        <v>249</v>
      </c>
      <c r="O73" s="88">
        <f>14*10</f>
        <v>140</v>
      </c>
      <c r="P73" s="1">
        <v>2</v>
      </c>
      <c r="Q73" s="1" t="s">
        <v>150</v>
      </c>
      <c r="R73" s="1" t="s">
        <v>56</v>
      </c>
      <c r="S73" s="1" t="s">
        <v>57</v>
      </c>
      <c r="T73" s="9">
        <v>0</v>
      </c>
      <c r="U73" s="9" t="s">
        <v>64</v>
      </c>
      <c r="V73" s="94" t="s">
        <v>64</v>
      </c>
      <c r="W73" s="57">
        <v>1</v>
      </c>
      <c r="X73" s="57">
        <f>8/20*100</f>
        <v>40</v>
      </c>
      <c r="Y73" s="104">
        <f>AVERAGE(1,3,14,12,2,3,1,3,0,0,0,0,0,0,0,0,0,0,0)</f>
        <v>2.0526315789473686</v>
      </c>
      <c r="Z73" s="9">
        <v>0</v>
      </c>
      <c r="AA73" s="9" t="s">
        <v>64</v>
      </c>
      <c r="AB73" s="10" t="s">
        <v>58</v>
      </c>
      <c r="AC73" s="11" t="s">
        <v>64</v>
      </c>
      <c r="AD73" s="9" t="s">
        <v>64</v>
      </c>
      <c r="AE73" s="1" t="s">
        <v>182</v>
      </c>
      <c r="AF73" s="1" t="s">
        <v>61</v>
      </c>
      <c r="AG73" s="1">
        <v>3</v>
      </c>
      <c r="AH73" s="1" t="s">
        <v>61</v>
      </c>
      <c r="AI73" s="1" t="s">
        <v>250</v>
      </c>
      <c r="AP73" s="1">
        <v>1</v>
      </c>
      <c r="AQ73" s="1">
        <v>4</v>
      </c>
      <c r="AR73" s="1">
        <v>1</v>
      </c>
      <c r="AS73" s="108">
        <v>5</v>
      </c>
      <c r="AT73" s="1">
        <v>1</v>
      </c>
      <c r="AU73" s="1">
        <f>AVERAGE(2,2,2,2,1,1,2,2,2,2,1,1,1,2,2,2,1,2,2,1)/5*100</f>
        <v>32.999999999999993</v>
      </c>
    </row>
    <row r="74" spans="1:47" ht="43.5">
      <c r="A74" s="1" t="s">
        <v>47</v>
      </c>
      <c r="B74" s="1" t="s">
        <v>144</v>
      </c>
      <c r="C74" s="1" t="s">
        <v>49</v>
      </c>
      <c r="D74" s="1" t="s">
        <v>174</v>
      </c>
      <c r="E74" s="1" t="s">
        <v>94</v>
      </c>
      <c r="F74" s="1" t="s">
        <v>251</v>
      </c>
      <c r="G74" s="1" t="s">
        <v>120</v>
      </c>
      <c r="H74" s="1">
        <v>10</v>
      </c>
      <c r="I74" s="3">
        <v>43083</v>
      </c>
      <c r="J74" s="1">
        <v>-3.5993170000000001</v>
      </c>
      <c r="K74" s="1">
        <v>29.548169999999999</v>
      </c>
      <c r="L74" s="1">
        <v>2358</v>
      </c>
      <c r="M74" s="1">
        <v>71410616</v>
      </c>
      <c r="N74" s="1" t="s">
        <v>252</v>
      </c>
      <c r="O74" s="88">
        <f>28*80</f>
        <v>2240</v>
      </c>
      <c r="P74" s="1">
        <v>2</v>
      </c>
      <c r="Q74" s="1" t="s">
        <v>150</v>
      </c>
      <c r="R74" s="1" t="s">
        <v>56</v>
      </c>
      <c r="S74" s="1" t="s">
        <v>151</v>
      </c>
      <c r="T74" s="9">
        <v>0</v>
      </c>
      <c r="U74" s="9" t="s">
        <v>64</v>
      </c>
      <c r="V74" s="94" t="s">
        <v>64</v>
      </c>
      <c r="W74" s="57">
        <v>1</v>
      </c>
      <c r="X74" s="57">
        <f>8/10*100</f>
        <v>80</v>
      </c>
      <c r="Y74" s="104">
        <f>AVERAGE(8,1,2,50,2,21,0,39,8,0)</f>
        <v>13.1</v>
      </c>
      <c r="Z74" s="9">
        <v>0</v>
      </c>
      <c r="AA74" s="9" t="s">
        <v>64</v>
      </c>
      <c r="AB74" s="10" t="s">
        <v>84</v>
      </c>
      <c r="AC74" s="11">
        <f>1/10*100</f>
        <v>10</v>
      </c>
      <c r="AD74" s="11">
        <f>AVERAGE(1,0,0,0,0,0,0,0,0,0)</f>
        <v>0.1</v>
      </c>
      <c r="AE74" s="1" t="s">
        <v>182</v>
      </c>
      <c r="AF74" s="1" t="s">
        <v>61</v>
      </c>
      <c r="AG74" s="1">
        <v>1</v>
      </c>
      <c r="AH74" s="1" t="s">
        <v>61</v>
      </c>
      <c r="AI74" s="1" t="s">
        <v>250</v>
      </c>
      <c r="AP74" s="1">
        <v>1</v>
      </c>
      <c r="AQ74" s="1">
        <v>3</v>
      </c>
      <c r="AR74" s="1">
        <v>1</v>
      </c>
      <c r="AS74" s="108">
        <v>5</v>
      </c>
      <c r="AT74" s="1">
        <v>1</v>
      </c>
      <c r="AU74" s="1">
        <f>AVERAGE(2,1,2,1,1,1,1,1,1,1,2,1,2,1,1,1,1,1,1,1)/5*100</f>
        <v>24</v>
      </c>
    </row>
    <row r="75" spans="1:47" ht="29.1">
      <c r="A75" s="1" t="s">
        <v>47</v>
      </c>
      <c r="B75" s="1" t="s">
        <v>144</v>
      </c>
      <c r="C75" s="1" t="s">
        <v>49</v>
      </c>
      <c r="D75" s="1" t="s">
        <v>174</v>
      </c>
      <c r="E75" s="1" t="s">
        <v>70</v>
      </c>
      <c r="F75" s="1" t="s">
        <v>232</v>
      </c>
      <c r="G75" s="1" t="s">
        <v>101</v>
      </c>
      <c r="H75" s="1">
        <v>17</v>
      </c>
      <c r="I75" s="3">
        <v>43085</v>
      </c>
      <c r="J75" s="1">
        <v>-3.4352779999999998</v>
      </c>
      <c r="K75" s="1">
        <v>29.528504999999999</v>
      </c>
      <c r="L75" s="1">
        <v>2362</v>
      </c>
      <c r="M75" s="1" t="s">
        <v>64</v>
      </c>
      <c r="N75" s="1" t="s">
        <v>253</v>
      </c>
      <c r="O75" s="88">
        <f>30*36</f>
        <v>1080</v>
      </c>
      <c r="P75" s="1">
        <v>2</v>
      </c>
      <c r="Q75" s="1" t="s">
        <v>150</v>
      </c>
      <c r="R75" s="1" t="s">
        <v>56</v>
      </c>
      <c r="S75" s="1" t="s">
        <v>57</v>
      </c>
      <c r="T75" s="9">
        <v>0</v>
      </c>
      <c r="U75" s="9" t="s">
        <v>64</v>
      </c>
      <c r="V75" s="94" t="s">
        <v>64</v>
      </c>
      <c r="W75" s="57">
        <v>1</v>
      </c>
      <c r="X75" s="57">
        <v>50</v>
      </c>
      <c r="Y75" s="104">
        <f>AVERAGE(0,0,0,40,1,50,0,10,0,50)</f>
        <v>15.1</v>
      </c>
      <c r="Z75" s="9">
        <v>0</v>
      </c>
      <c r="AA75" s="9" t="s">
        <v>64</v>
      </c>
      <c r="AB75" s="10" t="s">
        <v>84</v>
      </c>
      <c r="AC75" s="11">
        <f>3/10*100</f>
        <v>30</v>
      </c>
      <c r="AD75" s="9">
        <f>AVERAGE(1,1,1,0,0,0,0,0,0,0)</f>
        <v>0.3</v>
      </c>
      <c r="AE75" s="1" t="s">
        <v>172</v>
      </c>
      <c r="AF75" s="1" t="s">
        <v>195</v>
      </c>
      <c r="AG75" s="1">
        <v>2</v>
      </c>
      <c r="AH75" s="1" t="s">
        <v>61</v>
      </c>
      <c r="AI75" s="1" t="s">
        <v>235</v>
      </c>
      <c r="AP75" s="1">
        <v>0</v>
      </c>
      <c r="AQ75" s="1" t="s">
        <v>64</v>
      </c>
      <c r="AR75" s="1">
        <v>1</v>
      </c>
      <c r="AS75" s="108">
        <v>6</v>
      </c>
      <c r="AT75" s="1">
        <v>1</v>
      </c>
      <c r="AU75" s="1">
        <f>AVERAGE(2,2,2,2,2,2,2,2,2,2,2,2,2,2,1,2,2,2,2,2)/5*100</f>
        <v>39</v>
      </c>
    </row>
    <row r="76" spans="1:47" ht="29.1">
      <c r="A76" s="1" t="s">
        <v>47</v>
      </c>
      <c r="B76" s="1" t="s">
        <v>144</v>
      </c>
      <c r="C76" s="1" t="s">
        <v>49</v>
      </c>
      <c r="D76" s="1" t="s">
        <v>174</v>
      </c>
      <c r="E76" s="1" t="s">
        <v>94</v>
      </c>
      <c r="F76" s="1" t="s">
        <v>120</v>
      </c>
      <c r="G76" s="1" t="s">
        <v>120</v>
      </c>
      <c r="H76" s="1">
        <v>11</v>
      </c>
      <c r="I76" s="3">
        <v>43083</v>
      </c>
      <c r="J76" s="1">
        <v>-3.5803829999999999</v>
      </c>
      <c r="K76" s="1">
        <v>29.506568000000001</v>
      </c>
      <c r="L76" s="1">
        <f>2381</f>
        <v>2381</v>
      </c>
      <c r="M76" s="1" t="s">
        <v>64</v>
      </c>
      <c r="N76" s="1" t="s">
        <v>254</v>
      </c>
      <c r="O76" s="88">
        <f>50*13</f>
        <v>650</v>
      </c>
      <c r="P76" s="1">
        <v>2</v>
      </c>
      <c r="Q76" s="1" t="s">
        <v>150</v>
      </c>
      <c r="R76" s="1" t="s">
        <v>56</v>
      </c>
      <c r="S76" s="1" t="s">
        <v>57</v>
      </c>
      <c r="T76" s="9">
        <v>0</v>
      </c>
      <c r="U76" s="9" t="s">
        <v>64</v>
      </c>
      <c r="V76" s="94" t="s">
        <v>64</v>
      </c>
      <c r="W76" s="57">
        <v>1</v>
      </c>
      <c r="X76" s="57">
        <f>14/20*100</f>
        <v>70</v>
      </c>
      <c r="Y76" s="57">
        <f>AVERAGE(2,50,10,9,16,26,0,16,44,19,44,19,21,1,1,18,5,0,0,0,0,0)</f>
        <v>13.681818181818182</v>
      </c>
      <c r="Z76" s="9">
        <v>1</v>
      </c>
      <c r="AA76" s="9">
        <f>AVERAGE(4,0,0,0,0,0,0,0,0,0,0,0,0,0,0,0,0,0,0,0)</f>
        <v>0.2</v>
      </c>
      <c r="AB76" s="10" t="s">
        <v>84</v>
      </c>
      <c r="AC76" s="11">
        <f>3/20*100</f>
        <v>15</v>
      </c>
      <c r="AD76" s="9">
        <f>AVERAGE(1,1,1,0,0,0,0,0,0,0,0,0,0,0,0,0,0,0,0,0)</f>
        <v>0.15</v>
      </c>
      <c r="AE76" s="1" t="s">
        <v>182</v>
      </c>
      <c r="AF76" s="1" t="s">
        <v>61</v>
      </c>
      <c r="AG76" s="1">
        <v>3</v>
      </c>
      <c r="AH76" s="1" t="s">
        <v>61</v>
      </c>
      <c r="AI76" s="1" t="s">
        <v>250</v>
      </c>
      <c r="AP76" s="1">
        <v>1</v>
      </c>
      <c r="AQ76" s="1">
        <v>5</v>
      </c>
      <c r="AR76" s="1">
        <v>1</v>
      </c>
      <c r="AS76" s="108">
        <v>4</v>
      </c>
      <c r="AT76" s="1">
        <v>1</v>
      </c>
      <c r="AU76" s="1">
        <f>AVERAGE(2,2,2,2,2,1,2,2,2,1,1,1,1,1,1,1,2,2,2,1)/5*100</f>
        <v>31</v>
      </c>
    </row>
    <row r="77" spans="1:47" ht="29.1">
      <c r="A77" s="1" t="s">
        <v>47</v>
      </c>
      <c r="B77" s="1" t="s">
        <v>144</v>
      </c>
      <c r="C77" s="1" t="s">
        <v>49</v>
      </c>
      <c r="D77" s="1" t="s">
        <v>174</v>
      </c>
      <c r="E77" s="1" t="s">
        <v>94</v>
      </c>
      <c r="F77" s="1" t="s">
        <v>255</v>
      </c>
      <c r="G77" s="1" t="s">
        <v>120</v>
      </c>
      <c r="H77" s="1">
        <v>8</v>
      </c>
      <c r="I77" s="3">
        <v>43083</v>
      </c>
      <c r="J77" s="1">
        <v>-3.5907879999999999</v>
      </c>
      <c r="K77" s="1">
        <v>25.521334</v>
      </c>
      <c r="L77" s="1">
        <v>2408</v>
      </c>
      <c r="M77" s="1" t="s">
        <v>64</v>
      </c>
      <c r="N77" s="1" t="s">
        <v>57</v>
      </c>
      <c r="O77" s="88">
        <f>16.5*15</f>
        <v>247.5</v>
      </c>
      <c r="P77" s="1">
        <v>2</v>
      </c>
      <c r="Q77" s="1" t="s">
        <v>150</v>
      </c>
      <c r="R77" s="1" t="s">
        <v>56</v>
      </c>
      <c r="S77" s="1" t="s">
        <v>57</v>
      </c>
      <c r="T77" s="9">
        <v>0</v>
      </c>
      <c r="U77" s="9" t="s">
        <v>64</v>
      </c>
      <c r="V77" s="94" t="s">
        <v>64</v>
      </c>
      <c r="W77" s="57">
        <v>1</v>
      </c>
      <c r="X77" s="57">
        <f>13/20*100</f>
        <v>65</v>
      </c>
      <c r="Y77" s="104">
        <f>AVERAGE(1,2,1,1,1,2,4,0,3,1,0,0,3,0,0,9,0,3,2)</f>
        <v>1.736842105263158</v>
      </c>
      <c r="Z77" s="9">
        <v>0</v>
      </c>
      <c r="AA77" s="9" t="s">
        <v>64</v>
      </c>
      <c r="AB77" s="10" t="s">
        <v>84</v>
      </c>
      <c r="AC77" s="11">
        <f>1/20*100</f>
        <v>5</v>
      </c>
      <c r="AD77" s="11">
        <f>AVERAGE(1,0,0,0,0,0,0,0,0,0)</f>
        <v>0.1</v>
      </c>
      <c r="AE77" s="1" t="s">
        <v>182</v>
      </c>
      <c r="AF77" s="1" t="s">
        <v>85</v>
      </c>
      <c r="AG77" s="1">
        <v>1</v>
      </c>
      <c r="AH77" s="1" t="s">
        <v>61</v>
      </c>
      <c r="AI77" s="1" t="s">
        <v>100</v>
      </c>
      <c r="AP77" s="1">
        <v>1</v>
      </c>
      <c r="AQ77" s="1">
        <v>4</v>
      </c>
      <c r="AR77" s="1">
        <v>1</v>
      </c>
      <c r="AS77" s="108">
        <v>3</v>
      </c>
      <c r="AT77" s="1">
        <v>1</v>
      </c>
      <c r="AU77" s="1">
        <f>AVERAGE(2,1,1,1,2,1,1,2,2,1,2,1,1,1,2,2,1,2,2)/5*100</f>
        <v>29.473684210526311</v>
      </c>
    </row>
    <row r="78" spans="1:47" ht="29.1">
      <c r="A78" s="1" t="s">
        <v>47</v>
      </c>
      <c r="B78" s="1" t="s">
        <v>144</v>
      </c>
      <c r="C78" s="1" t="s">
        <v>49</v>
      </c>
      <c r="D78" s="1" t="s">
        <v>174</v>
      </c>
      <c r="E78" s="1" t="s">
        <v>94</v>
      </c>
      <c r="F78" s="1" t="s">
        <v>251</v>
      </c>
      <c r="G78" s="1" t="s">
        <v>120</v>
      </c>
      <c r="H78" s="1">
        <v>9</v>
      </c>
      <c r="I78" s="3">
        <v>43083</v>
      </c>
      <c r="J78" s="1">
        <v>-1.3607062000000001</v>
      </c>
      <c r="K78" s="1">
        <v>29.515626000000001</v>
      </c>
      <c r="L78" s="1">
        <v>2417</v>
      </c>
      <c r="M78" s="1" t="s">
        <v>64</v>
      </c>
      <c r="N78" s="1" t="s">
        <v>57</v>
      </c>
      <c r="O78" s="88">
        <f>30*60</f>
        <v>1800</v>
      </c>
      <c r="P78" s="1">
        <v>2</v>
      </c>
      <c r="Q78" s="1" t="s">
        <v>150</v>
      </c>
      <c r="R78" s="1" t="s">
        <v>56</v>
      </c>
      <c r="S78" s="1" t="s">
        <v>57</v>
      </c>
      <c r="T78" s="9">
        <v>0</v>
      </c>
      <c r="U78" s="9" t="s">
        <v>64</v>
      </c>
      <c r="V78" s="94" t="s">
        <v>64</v>
      </c>
      <c r="W78" s="57">
        <v>1</v>
      </c>
      <c r="X78" s="57">
        <f>15/20*100</f>
        <v>75</v>
      </c>
      <c r="Y78" s="104">
        <f>AVERAGE(1,0,0,0,21,0,2,1,24,1,4,9,0,6,5,50,4,20,13,49)</f>
        <v>10.5</v>
      </c>
      <c r="Z78" s="9">
        <v>0</v>
      </c>
      <c r="AA78" s="9" t="s">
        <v>64</v>
      </c>
      <c r="AB78" s="10" t="s">
        <v>84</v>
      </c>
      <c r="AC78" s="11">
        <f>1/10*100</f>
        <v>10</v>
      </c>
      <c r="AD78" s="11">
        <f>AVERAGE(1,0,0,0,0,0,0,0,0,0)</f>
        <v>0.1</v>
      </c>
      <c r="AE78" s="1" t="s">
        <v>182</v>
      </c>
      <c r="AF78" s="1" t="s">
        <v>61</v>
      </c>
      <c r="AG78" s="1">
        <v>1</v>
      </c>
      <c r="AH78" s="1" t="s">
        <v>61</v>
      </c>
      <c r="AI78" s="1" t="s">
        <v>256</v>
      </c>
      <c r="AP78" s="1">
        <v>1</v>
      </c>
      <c r="AQ78" s="1">
        <v>4</v>
      </c>
      <c r="AR78" s="1">
        <v>1</v>
      </c>
      <c r="AS78" s="108">
        <v>5</v>
      </c>
      <c r="AT78" s="1">
        <v>1</v>
      </c>
      <c r="AU78" s="1">
        <f>AVERAGE(1,1,1,1,2,2,1,1,1,1,1,1,12,1,1,1,2,2,2,1)/5*100</f>
        <v>36</v>
      </c>
    </row>
    <row r="79" spans="1:47" ht="29.1">
      <c r="A79" s="1" t="s">
        <v>47</v>
      </c>
      <c r="B79" s="1" t="s">
        <v>144</v>
      </c>
      <c r="C79" s="1" t="s">
        <v>49</v>
      </c>
      <c r="D79" s="1" t="s">
        <v>174</v>
      </c>
      <c r="E79" s="1" t="s">
        <v>70</v>
      </c>
      <c r="F79" s="1" t="s">
        <v>101</v>
      </c>
      <c r="G79" s="1" t="s">
        <v>113</v>
      </c>
      <c r="H79" s="1">
        <v>20</v>
      </c>
      <c r="I79" s="3">
        <v>43085</v>
      </c>
      <c r="J79" s="1">
        <v>-3.4314619999999998</v>
      </c>
      <c r="K79" s="1">
        <v>29.522010000000002</v>
      </c>
      <c r="L79" s="1">
        <v>2455</v>
      </c>
      <c r="M79" s="1">
        <v>7146171</v>
      </c>
      <c r="N79" s="1" t="s">
        <v>257</v>
      </c>
      <c r="O79" s="88">
        <f>29*12</f>
        <v>348</v>
      </c>
      <c r="P79" s="1">
        <v>3</v>
      </c>
      <c r="Q79" s="1" t="s">
        <v>189</v>
      </c>
      <c r="R79" s="1" t="s">
        <v>56</v>
      </c>
      <c r="S79" s="1" t="s">
        <v>57</v>
      </c>
      <c r="T79" s="9">
        <v>0</v>
      </c>
      <c r="U79" s="9" t="s">
        <v>64</v>
      </c>
      <c r="V79" s="94" t="s">
        <v>64</v>
      </c>
      <c r="W79" s="57">
        <v>1</v>
      </c>
      <c r="X79" s="57">
        <f>11/20*100</f>
        <v>55.000000000000007</v>
      </c>
      <c r="Y79" s="104">
        <f>AVERAGE(1,3,2,0,11,0,31,3,1,4,1,7,1,0,0,0,0,0,0,0)</f>
        <v>3.25</v>
      </c>
      <c r="Z79" s="9">
        <v>0</v>
      </c>
      <c r="AA79" s="9" t="s">
        <v>64</v>
      </c>
      <c r="AB79" s="10" t="s">
        <v>84</v>
      </c>
      <c r="AC79" s="11">
        <f>6/20*100</f>
        <v>30</v>
      </c>
      <c r="AD79" s="9">
        <f>AVERAGE(1,0,0,0,0,0,0,0,0,0,0,0,0,0,0,0,0,0,0,0)</f>
        <v>0.05</v>
      </c>
      <c r="AE79" s="1" t="s">
        <v>152</v>
      </c>
      <c r="AF79" s="1" t="s">
        <v>258</v>
      </c>
      <c r="AG79" s="1">
        <v>2</v>
      </c>
      <c r="AH79" s="1" t="s">
        <v>61</v>
      </c>
      <c r="AI79" s="1" t="s">
        <v>259</v>
      </c>
      <c r="AP79" s="1">
        <v>0</v>
      </c>
      <c r="AQ79" s="1" t="s">
        <v>64</v>
      </c>
      <c r="AR79" s="1">
        <v>1</v>
      </c>
      <c r="AS79" s="108">
        <v>4</v>
      </c>
      <c r="AT79" s="1">
        <v>1</v>
      </c>
      <c r="AU79" s="1">
        <f>AVERAGE(2,2,3,3,2,3,3,3,3,2,3,2,2,2,2,3,2,2,2,3)/5*100</f>
        <v>49.000000000000007</v>
      </c>
    </row>
    <row r="80" spans="1:47" ht="29.1">
      <c r="A80" s="39" t="s">
        <v>47</v>
      </c>
      <c r="B80" s="39" t="s">
        <v>48</v>
      </c>
      <c r="C80" s="40" t="s">
        <v>260</v>
      </c>
      <c r="D80" s="40" t="s">
        <v>261</v>
      </c>
      <c r="E80" s="40" t="s">
        <v>262</v>
      </c>
      <c r="F80" s="40" t="s">
        <v>263</v>
      </c>
      <c r="G80" s="40" t="s">
        <v>264</v>
      </c>
      <c r="H80" s="40">
        <v>18</v>
      </c>
      <c r="I80" s="41">
        <v>42187</v>
      </c>
      <c r="J80" s="39">
        <v>-1.5457742000000001</v>
      </c>
      <c r="K80" s="39">
        <v>29.634900999999999</v>
      </c>
      <c r="L80" s="39">
        <v>1663</v>
      </c>
      <c r="M80" s="40">
        <v>0</v>
      </c>
      <c r="N80" s="40" t="s">
        <v>265</v>
      </c>
      <c r="O80" s="90">
        <f>45*30</f>
        <v>1350</v>
      </c>
      <c r="P80" s="40">
        <v>3.5</v>
      </c>
      <c r="Q80" s="40" t="s">
        <v>189</v>
      </c>
      <c r="R80" s="1" t="s">
        <v>266</v>
      </c>
      <c r="S80" s="40" t="s">
        <v>267</v>
      </c>
      <c r="T80" s="42">
        <v>1</v>
      </c>
      <c r="U80" s="43">
        <v>100</v>
      </c>
      <c r="V80" s="98">
        <f>AVERAGE(50,50,20,50,50,10,60,50,10,70,50,10,80,60,10,50,40,50,50,10,60,40,70,50,20,20,10,5)</f>
        <v>39.464285714285715</v>
      </c>
      <c r="W80" s="54">
        <v>0</v>
      </c>
      <c r="X80" s="54" t="s">
        <v>64</v>
      </c>
      <c r="Y80" s="103" t="s">
        <v>64</v>
      </c>
      <c r="Z80" s="35">
        <v>0</v>
      </c>
      <c r="AA80" s="37" t="s">
        <v>64</v>
      </c>
      <c r="AB80" s="33" t="s">
        <v>58</v>
      </c>
      <c r="AC80" s="34" t="s">
        <v>64</v>
      </c>
      <c r="AD80" s="34" t="s">
        <v>64</v>
      </c>
      <c r="AE80" s="40" t="s">
        <v>268</v>
      </c>
      <c r="AF80" s="40" t="s">
        <v>61</v>
      </c>
      <c r="AG80" s="40">
        <v>2</v>
      </c>
      <c r="AH80" s="40" t="s">
        <v>61</v>
      </c>
      <c r="AI80" s="40" t="s">
        <v>196</v>
      </c>
      <c r="AJ80" s="44" t="s">
        <v>64</v>
      </c>
      <c r="AK80" s="44" t="s">
        <v>64</v>
      </c>
      <c r="AL80" s="44" t="s">
        <v>64</v>
      </c>
      <c r="AM80" s="44" t="s">
        <v>64</v>
      </c>
      <c r="AN80" s="44" t="s">
        <v>64</v>
      </c>
      <c r="AO80" s="40"/>
      <c r="AP80" s="120">
        <v>1</v>
      </c>
      <c r="AQ80" s="120">
        <v>2</v>
      </c>
      <c r="AR80" s="120">
        <v>1</v>
      </c>
      <c r="AS80" s="121">
        <v>2</v>
      </c>
      <c r="AT80">
        <v>1</v>
      </c>
      <c r="AU80">
        <v>30</v>
      </c>
    </row>
    <row r="81" spans="1:47" ht="43.5">
      <c r="A81" s="39" t="s">
        <v>47</v>
      </c>
      <c r="B81" s="39" t="s">
        <v>48</v>
      </c>
      <c r="C81" s="40" t="s">
        <v>260</v>
      </c>
      <c r="D81" s="40" t="s">
        <v>261</v>
      </c>
      <c r="E81" s="40" t="s">
        <v>262</v>
      </c>
      <c r="F81" s="40" t="s">
        <v>263</v>
      </c>
      <c r="G81" s="40" t="s">
        <v>269</v>
      </c>
      <c r="H81" s="40">
        <v>17</v>
      </c>
      <c r="I81" s="41">
        <v>42187</v>
      </c>
      <c r="J81" s="39">
        <v>-1.5363237999999999</v>
      </c>
      <c r="K81" s="39">
        <v>29.636129400000002</v>
      </c>
      <c r="L81" s="39">
        <v>1682</v>
      </c>
      <c r="M81" s="40">
        <v>786719898</v>
      </c>
      <c r="N81" s="40" t="s">
        <v>270</v>
      </c>
      <c r="O81" s="90">
        <f>40*23</f>
        <v>920</v>
      </c>
      <c r="P81" s="40">
        <v>3</v>
      </c>
      <c r="Q81" s="40" t="s">
        <v>150</v>
      </c>
      <c r="R81" s="1" t="s">
        <v>266</v>
      </c>
      <c r="S81" s="40" t="s">
        <v>271</v>
      </c>
      <c r="T81" s="42">
        <v>1</v>
      </c>
      <c r="U81" s="43">
        <v>100</v>
      </c>
      <c r="V81" s="98">
        <f>AVERAGE(15,10,20,10,5,10,5,15,5,20,5,10,5,15,10,10,10,15,15,30,20,40,20,50,40,50,50,40,40,50,40,70,50,12,4,1,20,5,4,20,15,10,16,7,5)</f>
        <v>20.422222222222221</v>
      </c>
      <c r="W81" s="54">
        <v>0</v>
      </c>
      <c r="X81" s="54" t="s">
        <v>64</v>
      </c>
      <c r="Y81" s="103" t="s">
        <v>64</v>
      </c>
      <c r="Z81" s="35">
        <v>0</v>
      </c>
      <c r="AA81" s="37" t="s">
        <v>64</v>
      </c>
      <c r="AB81" s="46" t="s">
        <v>84</v>
      </c>
      <c r="AC81" s="44">
        <f>3/20*100</f>
        <v>15</v>
      </c>
      <c r="AD81" s="42">
        <v>1</v>
      </c>
      <c r="AE81" s="40" t="s">
        <v>268</v>
      </c>
      <c r="AF81" s="40" t="s">
        <v>61</v>
      </c>
      <c r="AG81" s="40">
        <v>0</v>
      </c>
      <c r="AH81" s="40" t="s">
        <v>272</v>
      </c>
      <c r="AI81" s="40" t="s">
        <v>273</v>
      </c>
      <c r="AJ81" s="42">
        <v>4.2699999999999996</v>
      </c>
      <c r="AK81" s="47">
        <v>0</v>
      </c>
      <c r="AL81" s="47">
        <v>0</v>
      </c>
      <c r="AM81" s="47">
        <v>0</v>
      </c>
      <c r="AN81" s="47">
        <v>0</v>
      </c>
      <c r="AO81" s="40"/>
      <c r="AP81" s="120">
        <v>1</v>
      </c>
      <c r="AQ81" s="120">
        <v>2</v>
      </c>
      <c r="AR81" s="120">
        <v>1</v>
      </c>
      <c r="AS81" s="121">
        <v>3</v>
      </c>
      <c r="AT81">
        <v>1</v>
      </c>
      <c r="AU81">
        <v>2</v>
      </c>
    </row>
    <row r="82" spans="1:47" ht="29.1">
      <c r="A82" s="39" t="s">
        <v>47</v>
      </c>
      <c r="B82" s="39" t="s">
        <v>48</v>
      </c>
      <c r="C82" s="40" t="s">
        <v>260</v>
      </c>
      <c r="D82" s="40" t="s">
        <v>261</v>
      </c>
      <c r="E82" s="40" t="s">
        <v>262</v>
      </c>
      <c r="F82" s="40" t="s">
        <v>263</v>
      </c>
      <c r="G82" s="40" t="s">
        <v>274</v>
      </c>
      <c r="H82" s="40">
        <v>16</v>
      </c>
      <c r="I82" s="41">
        <v>42187</v>
      </c>
      <c r="J82" s="39">
        <v>-1.5315673000000001</v>
      </c>
      <c r="K82" s="39">
        <v>29.635038399999999</v>
      </c>
      <c r="L82" s="39">
        <v>1698</v>
      </c>
      <c r="M82" s="40">
        <v>782950898</v>
      </c>
      <c r="N82" s="40" t="s">
        <v>275</v>
      </c>
      <c r="O82" s="90">
        <f>100*50</f>
        <v>5000</v>
      </c>
      <c r="P82" s="40">
        <v>2.5</v>
      </c>
      <c r="Q82" s="40" t="s">
        <v>150</v>
      </c>
      <c r="R82" s="1" t="s">
        <v>266</v>
      </c>
      <c r="S82" s="40" t="s">
        <v>267</v>
      </c>
      <c r="T82" s="42">
        <v>1</v>
      </c>
      <c r="U82" s="43">
        <v>100</v>
      </c>
      <c r="V82" s="98">
        <f>AVERAGE(5,1,2,1,5,2,10,5,10,5,10,5,5,5,10,5,5,2,5,1,7,3,6,2,4,1,3,1,10,5,8,5,3,8,5,6,4,1,8,6,9,4,15,7,4,1)</f>
        <v>5.1086956521739131</v>
      </c>
      <c r="W82" s="52">
        <v>1</v>
      </c>
      <c r="X82" s="52">
        <f>2/20*100</f>
        <v>10</v>
      </c>
      <c r="Y82" s="104">
        <f>AVERAGE(30,0,0,0,0,0,0,0,0,0)</f>
        <v>3</v>
      </c>
      <c r="Z82" s="6">
        <v>0</v>
      </c>
      <c r="AA82" s="12" t="s">
        <v>64</v>
      </c>
      <c r="AB82" s="46" t="s">
        <v>84</v>
      </c>
      <c r="AC82" s="44">
        <f>7/20*100</f>
        <v>35</v>
      </c>
      <c r="AD82" s="44">
        <v>1</v>
      </c>
      <c r="AE82" s="40" t="s">
        <v>276</v>
      </c>
      <c r="AF82" s="40" t="s">
        <v>61</v>
      </c>
      <c r="AG82" s="40">
        <v>0</v>
      </c>
      <c r="AH82" s="40" t="s">
        <v>276</v>
      </c>
      <c r="AI82" s="40" t="s">
        <v>276</v>
      </c>
      <c r="AJ82" s="44" t="s">
        <v>64</v>
      </c>
      <c r="AK82" s="44" t="s">
        <v>64</v>
      </c>
      <c r="AL82" s="44" t="s">
        <v>64</v>
      </c>
      <c r="AM82" s="44" t="s">
        <v>64</v>
      </c>
      <c r="AN82" s="44" t="s">
        <v>64</v>
      </c>
      <c r="AO82" s="40"/>
      <c r="AP82" s="120">
        <v>1</v>
      </c>
      <c r="AQ82" s="120">
        <v>2</v>
      </c>
      <c r="AR82" s="120">
        <v>1</v>
      </c>
      <c r="AS82" s="121">
        <v>2</v>
      </c>
      <c r="AT82">
        <v>1</v>
      </c>
      <c r="AU82">
        <v>0.1</v>
      </c>
    </row>
    <row r="83" spans="1:47" ht="43.5">
      <c r="A83" s="39" t="s">
        <v>47</v>
      </c>
      <c r="B83" s="39" t="s">
        <v>48</v>
      </c>
      <c r="C83" s="40" t="s">
        <v>260</v>
      </c>
      <c r="D83" s="40" t="s">
        <v>261</v>
      </c>
      <c r="E83" s="40" t="s">
        <v>277</v>
      </c>
      <c r="F83" s="40" t="s">
        <v>278</v>
      </c>
      <c r="G83" s="40" t="s">
        <v>279</v>
      </c>
      <c r="H83" s="40">
        <v>33</v>
      </c>
      <c r="I83" s="41">
        <v>42194</v>
      </c>
      <c r="J83" s="40">
        <v>-1.5836275</v>
      </c>
      <c r="K83" s="40">
        <v>29.7358513</v>
      </c>
      <c r="L83" s="40">
        <v>1739</v>
      </c>
      <c r="M83" s="40">
        <v>785570705</v>
      </c>
      <c r="N83" s="40" t="s">
        <v>280</v>
      </c>
      <c r="O83" s="90">
        <v>1739</v>
      </c>
      <c r="P83" s="40">
        <v>2</v>
      </c>
      <c r="Q83" s="40" t="s">
        <v>150</v>
      </c>
      <c r="R83" s="1" t="s">
        <v>266</v>
      </c>
      <c r="S83" s="40" t="s">
        <v>281</v>
      </c>
      <c r="T83" s="47">
        <v>1</v>
      </c>
      <c r="U83" s="47">
        <f>3/20*100</f>
        <v>15</v>
      </c>
      <c r="V83" s="95">
        <f>AVERAGE(1,1,1,1,1,0,0,0,0,0,0,0,0,0,0,0,0,0,0,0,0,0,0,0,0,0,0,0,0)</f>
        <v>0.17241379310344829</v>
      </c>
      <c r="W83" s="57">
        <v>0</v>
      </c>
      <c r="X83" s="57" t="s">
        <v>64</v>
      </c>
      <c r="Y83" s="104" t="s">
        <v>64</v>
      </c>
      <c r="Z83" s="6">
        <v>0</v>
      </c>
      <c r="AA83" s="12" t="s">
        <v>64</v>
      </c>
      <c r="AB83" s="33" t="s">
        <v>58</v>
      </c>
      <c r="AC83" s="34" t="s">
        <v>64</v>
      </c>
      <c r="AD83" s="34" t="s">
        <v>64</v>
      </c>
      <c r="AE83" s="40" t="s">
        <v>282</v>
      </c>
      <c r="AF83" s="40" t="s">
        <v>61</v>
      </c>
      <c r="AG83" s="40">
        <v>2</v>
      </c>
      <c r="AH83" s="40" t="s">
        <v>283</v>
      </c>
      <c r="AI83" s="40" t="s">
        <v>284</v>
      </c>
      <c r="AJ83" s="44" t="s">
        <v>64</v>
      </c>
      <c r="AK83" s="44" t="s">
        <v>64</v>
      </c>
      <c r="AL83" s="44" t="s">
        <v>64</v>
      </c>
      <c r="AM83" s="44" t="s">
        <v>64</v>
      </c>
      <c r="AN83" s="44" t="s">
        <v>64</v>
      </c>
      <c r="AO83" s="47" t="s">
        <v>285</v>
      </c>
      <c r="AP83" s="120">
        <v>1</v>
      </c>
      <c r="AQ83" s="120">
        <v>3</v>
      </c>
      <c r="AR83" s="120">
        <v>1</v>
      </c>
      <c r="AS83" s="121">
        <v>5</v>
      </c>
      <c r="AT83">
        <v>1</v>
      </c>
      <c r="AU83">
        <v>15</v>
      </c>
    </row>
    <row r="84" spans="1:47" ht="29.1">
      <c r="A84" s="39" t="s">
        <v>47</v>
      </c>
      <c r="B84" s="39" t="s">
        <v>48</v>
      </c>
      <c r="C84" s="40" t="s">
        <v>260</v>
      </c>
      <c r="D84" s="40" t="s">
        <v>261</v>
      </c>
      <c r="E84" s="40" t="s">
        <v>286</v>
      </c>
      <c r="F84" s="40" t="s">
        <v>287</v>
      </c>
      <c r="G84" s="40" t="s">
        <v>288</v>
      </c>
      <c r="H84" s="40">
        <v>19</v>
      </c>
      <c r="I84" s="41">
        <v>42187</v>
      </c>
      <c r="J84" s="39">
        <v>-1.4936199999999999</v>
      </c>
      <c r="K84" s="39">
        <v>29.66675</v>
      </c>
      <c r="L84" s="39">
        <v>1829</v>
      </c>
      <c r="M84" s="40">
        <v>788764378</v>
      </c>
      <c r="N84" s="40" t="s">
        <v>289</v>
      </c>
      <c r="O84" s="90">
        <v>1829</v>
      </c>
      <c r="P84" s="40">
        <v>2.5</v>
      </c>
      <c r="Q84" s="40" t="s">
        <v>128</v>
      </c>
      <c r="R84" s="1" t="s">
        <v>266</v>
      </c>
      <c r="S84" s="40" t="s">
        <v>290</v>
      </c>
      <c r="T84" s="42">
        <v>1</v>
      </c>
      <c r="U84" s="43">
        <v>100</v>
      </c>
      <c r="V84" s="98">
        <f>AVERAGE(10,10,15,10,20,10,10,5,5,5,10,5,20,20,5,15,10,5,20,15,5,15,8,5,19,4,2,12,7,3,10,9,1,14,4,1,17,3,2,9,4,3,15,8,6,15,8,6,10,6,3)</f>
        <v>9</v>
      </c>
      <c r="W84" s="54">
        <v>0</v>
      </c>
      <c r="X84" s="54" t="s">
        <v>64</v>
      </c>
      <c r="Y84" s="103" t="s">
        <v>64</v>
      </c>
      <c r="Z84" s="35">
        <v>0</v>
      </c>
      <c r="AA84" s="37" t="s">
        <v>64</v>
      </c>
      <c r="AB84" s="46" t="s">
        <v>84</v>
      </c>
      <c r="AC84" s="44">
        <f>2/20*100</f>
        <v>10</v>
      </c>
      <c r="AD84" s="42">
        <v>1</v>
      </c>
      <c r="AE84" s="40" t="s">
        <v>291</v>
      </c>
      <c r="AF84" s="40" t="s">
        <v>61</v>
      </c>
      <c r="AG84" s="40">
        <v>1</v>
      </c>
      <c r="AH84" s="40" t="s">
        <v>61</v>
      </c>
      <c r="AI84" s="40" t="s">
        <v>292</v>
      </c>
      <c r="AJ84" s="42">
        <v>4.01</v>
      </c>
      <c r="AK84" s="47">
        <v>0</v>
      </c>
      <c r="AL84" s="47">
        <v>0</v>
      </c>
      <c r="AM84" s="47">
        <v>0</v>
      </c>
      <c r="AN84" s="47">
        <v>0</v>
      </c>
      <c r="AO84" s="40"/>
      <c r="AP84" s="120">
        <v>1</v>
      </c>
      <c r="AQ84" s="120">
        <v>2</v>
      </c>
      <c r="AR84" s="120">
        <v>1</v>
      </c>
      <c r="AS84" s="121">
        <v>4</v>
      </c>
      <c r="AT84">
        <v>1</v>
      </c>
      <c r="AU84">
        <v>50</v>
      </c>
    </row>
    <row r="85" spans="1:47" ht="29.1">
      <c r="A85" s="39" t="s">
        <v>47</v>
      </c>
      <c r="B85" s="39" t="s">
        <v>48</v>
      </c>
      <c r="C85" s="40" t="s">
        <v>260</v>
      </c>
      <c r="D85" s="40" t="s">
        <v>261</v>
      </c>
      <c r="E85" s="40" t="s">
        <v>286</v>
      </c>
      <c r="F85" s="40" t="s">
        <v>293</v>
      </c>
      <c r="G85" s="40" t="s">
        <v>294</v>
      </c>
      <c r="H85" s="40">
        <v>21</v>
      </c>
      <c r="I85" s="41">
        <v>42187</v>
      </c>
      <c r="J85" s="39">
        <v>-1.4760599999999999</v>
      </c>
      <c r="K85" s="39">
        <v>29.68815</v>
      </c>
      <c r="L85" s="39">
        <v>1842</v>
      </c>
      <c r="M85" s="40">
        <v>784120193</v>
      </c>
      <c r="N85" s="40" t="s">
        <v>295</v>
      </c>
      <c r="O85" s="90">
        <f>50*30</f>
        <v>1500</v>
      </c>
      <c r="P85" s="40">
        <v>2</v>
      </c>
      <c r="Q85" s="40" t="s">
        <v>150</v>
      </c>
      <c r="R85" s="1" t="s">
        <v>266</v>
      </c>
      <c r="S85" s="40" t="s">
        <v>281</v>
      </c>
      <c r="T85" s="42">
        <v>1</v>
      </c>
      <c r="U85" s="43">
        <f>19/20*100</f>
        <v>95</v>
      </c>
      <c r="V85" s="98">
        <f>AVERAGE(10,5,15,5,10,5,5,2,5,5,5,5,4,1,6,2,2,10,7,3,3,1,1,9,3,1,7,4,14,6,2,9,3,1)</f>
        <v>5.1764705882352944</v>
      </c>
      <c r="W85" s="57">
        <v>0</v>
      </c>
      <c r="X85" s="57" t="s">
        <v>64</v>
      </c>
      <c r="Y85" s="104" t="s">
        <v>64</v>
      </c>
      <c r="Z85" s="6">
        <v>0</v>
      </c>
      <c r="AA85" s="12" t="s">
        <v>64</v>
      </c>
      <c r="AB85" s="33" t="s">
        <v>58</v>
      </c>
      <c r="AC85" s="34" t="s">
        <v>64</v>
      </c>
      <c r="AD85" s="34" t="s">
        <v>64</v>
      </c>
      <c r="AE85" s="40" t="s">
        <v>296</v>
      </c>
      <c r="AF85" s="40" t="s">
        <v>297</v>
      </c>
      <c r="AG85" s="40">
        <v>0</v>
      </c>
      <c r="AH85" s="40" t="s">
        <v>298</v>
      </c>
      <c r="AI85" s="40" t="s">
        <v>299</v>
      </c>
      <c r="AJ85" s="44" t="s">
        <v>64</v>
      </c>
      <c r="AK85" s="44" t="s">
        <v>64</v>
      </c>
      <c r="AL85" s="44" t="s">
        <v>64</v>
      </c>
      <c r="AM85" s="44" t="s">
        <v>64</v>
      </c>
      <c r="AN85" s="44" t="s">
        <v>64</v>
      </c>
      <c r="AO85" s="40"/>
      <c r="AP85" s="120">
        <v>1</v>
      </c>
      <c r="AQ85" s="120">
        <v>2</v>
      </c>
      <c r="AR85" s="120">
        <v>1</v>
      </c>
      <c r="AS85" s="121">
        <v>2</v>
      </c>
      <c r="AT85">
        <v>1</v>
      </c>
      <c r="AU85">
        <v>25</v>
      </c>
    </row>
    <row r="86" spans="1:47" ht="29.1">
      <c r="A86" s="39" t="s">
        <v>47</v>
      </c>
      <c r="B86" s="39" t="s">
        <v>48</v>
      </c>
      <c r="C86" s="40" t="s">
        <v>260</v>
      </c>
      <c r="D86" s="40" t="s">
        <v>261</v>
      </c>
      <c r="E86" s="40" t="s">
        <v>286</v>
      </c>
      <c r="F86" s="40" t="s">
        <v>293</v>
      </c>
      <c r="G86" s="40" t="s">
        <v>300</v>
      </c>
      <c r="H86" s="40">
        <v>22</v>
      </c>
      <c r="I86" s="41">
        <v>42187</v>
      </c>
      <c r="J86" s="39">
        <v>-1.4760599999999999</v>
      </c>
      <c r="K86" s="39">
        <v>29.68815</v>
      </c>
      <c r="L86" s="39">
        <v>1842</v>
      </c>
      <c r="M86" s="40">
        <v>788403048</v>
      </c>
      <c r="N86" s="40" t="s">
        <v>301</v>
      </c>
      <c r="O86" s="90">
        <f>20*10</f>
        <v>200</v>
      </c>
      <c r="P86" s="40">
        <v>2.5</v>
      </c>
      <c r="Q86" s="40" t="s">
        <v>128</v>
      </c>
      <c r="R86" s="1" t="s">
        <v>266</v>
      </c>
      <c r="S86" s="40" t="s">
        <v>267</v>
      </c>
      <c r="T86" s="47">
        <v>1</v>
      </c>
      <c r="U86" s="47">
        <v>100</v>
      </c>
      <c r="V86" s="95">
        <f>AVERAGE(9,3,1,6,10,1,14,10,5,16,12,4,7,1,9,2,10,9,3,12,10,4,6,50,20,30,10,20,10,10,10,10,10,15,15,2,25,20,10,10,5,10,5,40,20)</f>
        <v>11.577777777777778</v>
      </c>
      <c r="W86" s="54">
        <v>0</v>
      </c>
      <c r="X86" s="54" t="s">
        <v>64</v>
      </c>
      <c r="Y86" s="103" t="s">
        <v>64</v>
      </c>
      <c r="Z86" s="35">
        <v>0</v>
      </c>
      <c r="AA86" s="37" t="s">
        <v>64</v>
      </c>
      <c r="AB86" s="33" t="s">
        <v>58</v>
      </c>
      <c r="AC86" s="34" t="s">
        <v>64</v>
      </c>
      <c r="AD86" s="34" t="s">
        <v>64</v>
      </c>
      <c r="AE86" s="40" t="s">
        <v>268</v>
      </c>
      <c r="AF86" s="40" t="s">
        <v>61</v>
      </c>
      <c r="AG86" s="40">
        <v>0</v>
      </c>
      <c r="AH86" s="40" t="s">
        <v>61</v>
      </c>
      <c r="AI86" s="40" t="s">
        <v>302</v>
      </c>
      <c r="AJ86" s="47">
        <v>6.91</v>
      </c>
      <c r="AK86" s="47">
        <v>0</v>
      </c>
      <c r="AL86" s="47">
        <v>0</v>
      </c>
      <c r="AM86" s="47">
        <v>0</v>
      </c>
      <c r="AN86" s="47">
        <v>0</v>
      </c>
      <c r="AO86" s="40"/>
      <c r="AP86" s="120">
        <v>1</v>
      </c>
      <c r="AQ86" s="120">
        <v>5</v>
      </c>
      <c r="AR86" s="120">
        <v>1</v>
      </c>
      <c r="AS86" s="121">
        <v>3</v>
      </c>
      <c r="AT86">
        <v>1</v>
      </c>
      <c r="AU86">
        <v>40</v>
      </c>
    </row>
    <row r="87" spans="1:47" ht="29.1">
      <c r="A87" s="39" t="s">
        <v>47</v>
      </c>
      <c r="B87" s="39" t="s">
        <v>48</v>
      </c>
      <c r="C87" s="40" t="s">
        <v>260</v>
      </c>
      <c r="D87" s="40" t="s">
        <v>261</v>
      </c>
      <c r="E87" s="40" t="s">
        <v>303</v>
      </c>
      <c r="F87" s="40" t="s">
        <v>304</v>
      </c>
      <c r="G87" s="40" t="s">
        <v>305</v>
      </c>
      <c r="H87" s="40">
        <v>20</v>
      </c>
      <c r="I87" s="41">
        <v>42187</v>
      </c>
      <c r="J87" s="39">
        <v>-1.4845539000000001</v>
      </c>
      <c r="K87" s="39">
        <v>29.6834335</v>
      </c>
      <c r="L87" s="39">
        <v>1851</v>
      </c>
      <c r="M87" s="40">
        <v>722042613</v>
      </c>
      <c r="N87" s="40" t="s">
        <v>306</v>
      </c>
      <c r="O87" s="90">
        <v>1851</v>
      </c>
      <c r="P87" s="40">
        <v>2.5</v>
      </c>
      <c r="Q87" s="40" t="s">
        <v>128</v>
      </c>
      <c r="R87" s="1" t="s">
        <v>266</v>
      </c>
      <c r="S87" s="40" t="s">
        <v>290</v>
      </c>
      <c r="T87" s="42">
        <v>1</v>
      </c>
      <c r="U87" s="43">
        <v>100</v>
      </c>
      <c r="V87" s="98">
        <f>AVERAGE(10,5,5,5,1,10,5,30,10,10,5,5,1,20,10,40,20,1,16,5,5,10,9,1,14,4,2,9,2,2,11,4,1,7,1,10,7,3,16,5,4,15,8,5,12,7,3,14,4,1)</f>
        <v>8.1999999999999993</v>
      </c>
      <c r="W87" s="54">
        <v>0</v>
      </c>
      <c r="X87" s="54" t="s">
        <v>64</v>
      </c>
      <c r="Y87" s="103" t="s">
        <v>64</v>
      </c>
      <c r="Z87" s="35">
        <v>0</v>
      </c>
      <c r="AA87" s="37" t="s">
        <v>64</v>
      </c>
      <c r="AB87" s="46" t="s">
        <v>84</v>
      </c>
      <c r="AC87" s="44">
        <f>2/20*100</f>
        <v>10</v>
      </c>
      <c r="AD87" s="42">
        <v>1</v>
      </c>
      <c r="AE87" s="40" t="s">
        <v>276</v>
      </c>
      <c r="AF87" s="40" t="s">
        <v>61</v>
      </c>
      <c r="AG87" s="40">
        <v>0</v>
      </c>
      <c r="AH87" s="40" t="s">
        <v>276</v>
      </c>
      <c r="AI87" s="40" t="s">
        <v>276</v>
      </c>
      <c r="AJ87" s="42">
        <v>3.12</v>
      </c>
      <c r="AK87" s="47">
        <v>0</v>
      </c>
      <c r="AL87" s="47">
        <v>0</v>
      </c>
      <c r="AM87" s="47">
        <v>0</v>
      </c>
      <c r="AN87" s="47">
        <v>0</v>
      </c>
      <c r="AO87" s="40"/>
      <c r="AP87" s="120">
        <v>1</v>
      </c>
      <c r="AQ87" s="120">
        <v>3</v>
      </c>
      <c r="AR87" s="120">
        <v>1</v>
      </c>
      <c r="AS87" s="121">
        <v>5</v>
      </c>
      <c r="AT87">
        <v>1</v>
      </c>
      <c r="AU87">
        <v>30</v>
      </c>
    </row>
    <row r="88" spans="1:47">
      <c r="A88" s="39" t="s">
        <v>47</v>
      </c>
      <c r="B88" s="39" t="s">
        <v>48</v>
      </c>
      <c r="C88" s="40" t="s">
        <v>260</v>
      </c>
      <c r="D88" s="40" t="s">
        <v>307</v>
      </c>
      <c r="E88" s="40" t="s">
        <v>308</v>
      </c>
      <c r="F88" s="40" t="s">
        <v>309</v>
      </c>
      <c r="G88" s="40" t="s">
        <v>310</v>
      </c>
      <c r="H88" s="40">
        <v>25</v>
      </c>
      <c r="I88" s="41">
        <v>42193</v>
      </c>
      <c r="J88" s="39">
        <v>-1.3795192999999999</v>
      </c>
      <c r="K88" s="39">
        <v>29.781261400000002</v>
      </c>
      <c r="L88" s="39">
        <v>1868</v>
      </c>
      <c r="M88" s="40">
        <v>788674892</v>
      </c>
      <c r="N88" s="40" t="s">
        <v>311</v>
      </c>
      <c r="O88" s="90">
        <f>80*100</f>
        <v>8000</v>
      </c>
      <c r="P88" s="40">
        <v>2</v>
      </c>
      <c r="Q88" s="40" t="s">
        <v>150</v>
      </c>
      <c r="R88" s="1" t="s">
        <v>266</v>
      </c>
      <c r="S88" s="40" t="s">
        <v>281</v>
      </c>
      <c r="T88" s="47">
        <v>1</v>
      </c>
      <c r="U88" s="47">
        <f>12/20*100</f>
        <v>60</v>
      </c>
      <c r="V88" s="95">
        <f>AVERAGE(1,1,5,1,2,5,4,2,1,2,1,1,4,2,4,1,1,5,3,1,5)</f>
        <v>2.4761904761904763</v>
      </c>
      <c r="W88" s="54">
        <v>0</v>
      </c>
      <c r="X88" s="54" t="s">
        <v>64</v>
      </c>
      <c r="Y88" s="103" t="s">
        <v>64</v>
      </c>
      <c r="Z88" s="35">
        <v>0</v>
      </c>
      <c r="AA88" s="37" t="s">
        <v>64</v>
      </c>
      <c r="AB88" s="46" t="s">
        <v>84</v>
      </c>
      <c r="AC88" s="48">
        <f>1/20*100</f>
        <v>5</v>
      </c>
      <c r="AD88" s="47">
        <v>1</v>
      </c>
      <c r="AE88" s="40" t="s">
        <v>312</v>
      </c>
      <c r="AF88" s="40" t="s">
        <v>61</v>
      </c>
      <c r="AG88" s="40">
        <v>0</v>
      </c>
      <c r="AH88" s="40" t="s">
        <v>61</v>
      </c>
      <c r="AI88" s="40" t="s">
        <v>196</v>
      </c>
      <c r="AJ88" s="44" t="s">
        <v>64</v>
      </c>
      <c r="AK88" s="44" t="s">
        <v>64</v>
      </c>
      <c r="AL88" s="44" t="s">
        <v>64</v>
      </c>
      <c r="AM88" s="44" t="s">
        <v>64</v>
      </c>
      <c r="AN88" s="44" t="s">
        <v>64</v>
      </c>
      <c r="AO88" s="40"/>
      <c r="AP88" s="120">
        <v>1</v>
      </c>
      <c r="AQ88" s="120">
        <v>2</v>
      </c>
      <c r="AR88" s="120">
        <v>1</v>
      </c>
      <c r="AS88" s="121">
        <v>5</v>
      </c>
      <c r="AT88">
        <v>1</v>
      </c>
      <c r="AU88">
        <v>5</v>
      </c>
    </row>
    <row r="89" spans="1:47" ht="29.1">
      <c r="A89" s="39" t="s">
        <v>47</v>
      </c>
      <c r="B89" s="39" t="s">
        <v>48</v>
      </c>
      <c r="C89" s="40" t="s">
        <v>260</v>
      </c>
      <c r="D89" s="40" t="s">
        <v>307</v>
      </c>
      <c r="E89" s="40" t="s">
        <v>308</v>
      </c>
      <c r="F89" s="40" t="s">
        <v>309</v>
      </c>
      <c r="G89" s="40" t="s">
        <v>313</v>
      </c>
      <c r="H89" s="40">
        <v>26</v>
      </c>
      <c r="I89" s="41">
        <v>42193</v>
      </c>
      <c r="J89" s="39">
        <v>-1.3811431999999999</v>
      </c>
      <c r="K89" s="39">
        <v>29.7952385</v>
      </c>
      <c r="L89" s="39">
        <v>1868</v>
      </c>
      <c r="M89" s="40">
        <v>0</v>
      </c>
      <c r="N89" s="40" t="s">
        <v>314</v>
      </c>
      <c r="O89" s="90">
        <f>30*80</f>
        <v>2400</v>
      </c>
      <c r="P89" s="40">
        <v>2</v>
      </c>
      <c r="Q89" s="40" t="s">
        <v>150</v>
      </c>
      <c r="R89" s="1" t="s">
        <v>266</v>
      </c>
      <c r="S89" s="40" t="s">
        <v>281</v>
      </c>
      <c r="T89" s="47">
        <v>1</v>
      </c>
      <c r="U89" s="47">
        <f>11/20*100</f>
        <v>55.000000000000007</v>
      </c>
      <c r="V89" s="95">
        <f>AVERAGE(1,1,2,1,1,3,1,5,5,1,3,1,5,2,1,1,5)</f>
        <v>2.2941176470588234</v>
      </c>
      <c r="W89" s="54">
        <v>0</v>
      </c>
      <c r="X89" s="54" t="s">
        <v>64</v>
      </c>
      <c r="Y89" s="103" t="s">
        <v>64</v>
      </c>
      <c r="Z89" s="35">
        <v>0</v>
      </c>
      <c r="AA89" s="37" t="s">
        <v>64</v>
      </c>
      <c r="AB89" s="46" t="s">
        <v>84</v>
      </c>
      <c r="AC89" s="48">
        <f>4/20*100</f>
        <v>20</v>
      </c>
      <c r="AD89" s="47">
        <v>1</v>
      </c>
      <c r="AE89" s="40" t="s">
        <v>315</v>
      </c>
      <c r="AF89" s="40" t="s">
        <v>61</v>
      </c>
      <c r="AG89" s="40">
        <v>1</v>
      </c>
      <c r="AH89" s="40" t="s">
        <v>61</v>
      </c>
      <c r="AI89" s="40" t="s">
        <v>292</v>
      </c>
      <c r="AJ89" s="44" t="s">
        <v>64</v>
      </c>
      <c r="AK89" s="44" t="s">
        <v>64</v>
      </c>
      <c r="AL89" s="44" t="s">
        <v>64</v>
      </c>
      <c r="AM89" s="44" t="s">
        <v>64</v>
      </c>
      <c r="AN89" s="44" t="s">
        <v>64</v>
      </c>
      <c r="AO89" s="40"/>
      <c r="AP89" s="120">
        <v>1</v>
      </c>
      <c r="AQ89" s="120">
        <v>6</v>
      </c>
      <c r="AR89" s="120">
        <v>1</v>
      </c>
      <c r="AS89" s="121">
        <v>4</v>
      </c>
      <c r="AT89">
        <v>1</v>
      </c>
      <c r="AU89">
        <v>10</v>
      </c>
    </row>
    <row r="90" spans="1:47" ht="29.1">
      <c r="A90" s="39" t="s">
        <v>47</v>
      </c>
      <c r="B90" s="39" t="s">
        <v>48</v>
      </c>
      <c r="C90" s="40" t="s">
        <v>260</v>
      </c>
      <c r="D90" s="40" t="s">
        <v>307</v>
      </c>
      <c r="E90" s="40" t="s">
        <v>316</v>
      </c>
      <c r="F90" s="40" t="s">
        <v>317</v>
      </c>
      <c r="G90" s="40" t="s">
        <v>318</v>
      </c>
      <c r="H90" s="40">
        <v>27</v>
      </c>
      <c r="I90" s="41">
        <v>42193</v>
      </c>
      <c r="J90" s="39">
        <v>-1.3804000999999999</v>
      </c>
      <c r="K90" s="39">
        <v>29.805067099999999</v>
      </c>
      <c r="L90" s="39">
        <v>1897</v>
      </c>
      <c r="M90" s="40">
        <v>789130422</v>
      </c>
      <c r="N90" s="40" t="s">
        <v>319</v>
      </c>
      <c r="O90" s="90">
        <v>1897</v>
      </c>
      <c r="P90" s="40">
        <v>2</v>
      </c>
      <c r="Q90" s="40" t="s">
        <v>55</v>
      </c>
      <c r="R90" s="1" t="s">
        <v>266</v>
      </c>
      <c r="S90" s="40" t="s">
        <v>320</v>
      </c>
      <c r="T90" s="47">
        <v>1</v>
      </c>
      <c r="U90" s="47">
        <f>12/20*100</f>
        <v>60</v>
      </c>
      <c r="V90" s="95">
        <f>AVERAGE(5,1,2,1,1,2,2,1,5,2,2,1,2,1)</f>
        <v>2</v>
      </c>
      <c r="W90" s="57">
        <v>0</v>
      </c>
      <c r="X90" s="57" t="s">
        <v>64</v>
      </c>
      <c r="Y90" s="104" t="s">
        <v>64</v>
      </c>
      <c r="Z90" s="6">
        <v>0</v>
      </c>
      <c r="AA90" s="12" t="s">
        <v>64</v>
      </c>
      <c r="AB90" s="33" t="s">
        <v>58</v>
      </c>
      <c r="AC90" s="34" t="s">
        <v>64</v>
      </c>
      <c r="AD90" s="34" t="s">
        <v>64</v>
      </c>
      <c r="AE90" s="40" t="s">
        <v>315</v>
      </c>
      <c r="AF90" s="40" t="s">
        <v>61</v>
      </c>
      <c r="AG90" s="40">
        <v>0</v>
      </c>
      <c r="AH90" s="40" t="s">
        <v>61</v>
      </c>
      <c r="AI90" s="40" t="s">
        <v>259</v>
      </c>
      <c r="AJ90" s="47">
        <v>2.63</v>
      </c>
      <c r="AK90" s="47">
        <v>0</v>
      </c>
      <c r="AL90" s="47">
        <v>0</v>
      </c>
      <c r="AM90" s="47">
        <v>0</v>
      </c>
      <c r="AN90" s="47">
        <v>0</v>
      </c>
      <c r="AO90" s="40"/>
      <c r="AP90" s="120">
        <v>1</v>
      </c>
      <c r="AQ90" s="120">
        <v>3</v>
      </c>
      <c r="AR90" s="120">
        <v>1</v>
      </c>
      <c r="AS90" s="121">
        <v>4</v>
      </c>
      <c r="AT90">
        <v>1</v>
      </c>
      <c r="AU90">
        <v>5</v>
      </c>
    </row>
    <row r="91" spans="1:47" ht="29.1">
      <c r="A91" s="39" t="s">
        <v>47</v>
      </c>
      <c r="B91" s="39" t="s">
        <v>48</v>
      </c>
      <c r="C91" s="40" t="s">
        <v>260</v>
      </c>
      <c r="D91" s="40" t="s">
        <v>307</v>
      </c>
      <c r="E91" s="40" t="s">
        <v>308</v>
      </c>
      <c r="F91" s="40" t="s">
        <v>321</v>
      </c>
      <c r="G91" s="40" t="s">
        <v>322</v>
      </c>
      <c r="H91" s="40">
        <v>24</v>
      </c>
      <c r="I91" s="41">
        <v>42193</v>
      </c>
      <c r="J91" s="39">
        <v>-1.3817108</v>
      </c>
      <c r="K91" s="39">
        <v>29.776647000000001</v>
      </c>
      <c r="L91" s="39">
        <v>1905</v>
      </c>
      <c r="M91" s="40">
        <v>788781840</v>
      </c>
      <c r="N91" s="40" t="s">
        <v>323</v>
      </c>
      <c r="O91" s="90">
        <f>29*14</f>
        <v>406</v>
      </c>
      <c r="P91" s="40">
        <v>3</v>
      </c>
      <c r="Q91" s="40" t="s">
        <v>128</v>
      </c>
      <c r="R91" s="1" t="s">
        <v>266</v>
      </c>
      <c r="S91" s="40" t="s">
        <v>281</v>
      </c>
      <c r="T91" s="47">
        <v>1</v>
      </c>
      <c r="U91" s="47">
        <f>13/20*100</f>
        <v>65</v>
      </c>
      <c r="V91" s="95">
        <f>AVERAGE(5,5,1,1,1,1,3,1,1,10,5,1,6,3,5,3,8,3,6,4,5,5,1,5,1)</f>
        <v>3.6</v>
      </c>
      <c r="W91" s="54">
        <v>0</v>
      </c>
      <c r="X91" s="54" t="s">
        <v>64</v>
      </c>
      <c r="Y91" s="103" t="s">
        <v>64</v>
      </c>
      <c r="Z91" s="35">
        <v>0</v>
      </c>
      <c r="AA91" s="37" t="s">
        <v>64</v>
      </c>
      <c r="AB91" s="46" t="s">
        <v>84</v>
      </c>
      <c r="AC91" s="48">
        <f>1/20*100</f>
        <v>5</v>
      </c>
      <c r="AD91" s="47">
        <v>1</v>
      </c>
      <c r="AE91" s="40" t="s">
        <v>315</v>
      </c>
      <c r="AF91" s="40" t="s">
        <v>61</v>
      </c>
      <c r="AG91" s="40">
        <v>0</v>
      </c>
      <c r="AH91" s="40" t="s">
        <v>61</v>
      </c>
      <c r="AI91" s="40" t="s">
        <v>168</v>
      </c>
      <c r="AJ91" s="47">
        <v>3.22</v>
      </c>
      <c r="AK91" s="47">
        <v>0</v>
      </c>
      <c r="AL91" s="47">
        <v>0</v>
      </c>
      <c r="AM91" s="47">
        <v>0</v>
      </c>
      <c r="AN91" s="47">
        <v>0</v>
      </c>
      <c r="AO91" s="40"/>
      <c r="AP91" s="120">
        <v>1</v>
      </c>
      <c r="AQ91" s="120">
        <v>2</v>
      </c>
      <c r="AR91" s="120">
        <v>1</v>
      </c>
      <c r="AS91" s="121">
        <v>5</v>
      </c>
      <c r="AT91">
        <v>1</v>
      </c>
      <c r="AU91">
        <v>65</v>
      </c>
    </row>
    <row r="92" spans="1:47" ht="29.1">
      <c r="A92" s="39" t="s">
        <v>47</v>
      </c>
      <c r="B92" s="39" t="s">
        <v>48</v>
      </c>
      <c r="C92" s="40" t="s">
        <v>260</v>
      </c>
      <c r="D92" s="40" t="s">
        <v>261</v>
      </c>
      <c r="E92" s="40" t="s">
        <v>286</v>
      </c>
      <c r="F92" s="40" t="s">
        <v>324</v>
      </c>
      <c r="G92" s="40" t="s">
        <v>325</v>
      </c>
      <c r="H92" s="40">
        <v>1</v>
      </c>
      <c r="I92" s="41">
        <v>42184</v>
      </c>
      <c r="J92" s="39">
        <v>-1.4832619</v>
      </c>
      <c r="K92" s="39">
        <v>29.625978499999999</v>
      </c>
      <c r="L92" s="39">
        <v>1916</v>
      </c>
      <c r="M92" s="40">
        <v>0</v>
      </c>
      <c r="N92" s="41" t="s">
        <v>326</v>
      </c>
      <c r="O92" s="90">
        <f>35*12</f>
        <v>420</v>
      </c>
      <c r="P92" s="40">
        <v>4</v>
      </c>
      <c r="Q92" s="40" t="s">
        <v>189</v>
      </c>
      <c r="R92" s="40" t="s">
        <v>266</v>
      </c>
      <c r="S92" s="40" t="s">
        <v>327</v>
      </c>
      <c r="T92" s="42">
        <v>1</v>
      </c>
      <c r="U92" s="43">
        <v>100</v>
      </c>
      <c r="V92" s="98">
        <f>AVERAGE(70,30,5,60,25,3,30,20,5,80,35,5,70,30,5,85,50,7,60,20,4,50,15,5,75,30,10,75,35,7,85,50,10,90,60,20,60,30,5,50,20,6,60,35,16,35,20,3,40,20,5,60,15,5,85,25,5,80,35,10)</f>
        <v>34.016666666666666</v>
      </c>
      <c r="W92" s="57">
        <v>0</v>
      </c>
      <c r="X92" s="57" t="s">
        <v>64</v>
      </c>
      <c r="Y92" s="104" t="s">
        <v>64</v>
      </c>
      <c r="Z92" s="35">
        <v>0</v>
      </c>
      <c r="AA92" s="37" t="s">
        <v>64</v>
      </c>
      <c r="AB92" s="46">
        <v>0</v>
      </c>
      <c r="AC92" s="44" t="s">
        <v>64</v>
      </c>
      <c r="AD92" s="44" t="s">
        <v>64</v>
      </c>
      <c r="AE92" s="40" t="s">
        <v>328</v>
      </c>
      <c r="AF92" s="40" t="s">
        <v>160</v>
      </c>
      <c r="AG92" s="40">
        <v>4</v>
      </c>
      <c r="AH92" s="40" t="s">
        <v>329</v>
      </c>
      <c r="AI92" s="40" t="s">
        <v>330</v>
      </c>
      <c r="AJ92" s="47">
        <v>4.84</v>
      </c>
      <c r="AK92" s="47">
        <v>0</v>
      </c>
      <c r="AL92" s="47">
        <v>0</v>
      </c>
      <c r="AM92" s="47">
        <v>0</v>
      </c>
      <c r="AN92" s="47">
        <v>0</v>
      </c>
      <c r="AO92" s="40"/>
      <c r="AP92" s="120">
        <v>1</v>
      </c>
      <c r="AQ92" s="120">
        <v>3</v>
      </c>
      <c r="AR92" s="120">
        <v>1</v>
      </c>
      <c r="AS92" s="121">
        <v>3</v>
      </c>
      <c r="AT92">
        <v>1</v>
      </c>
      <c r="AU92">
        <v>80</v>
      </c>
    </row>
    <row r="93" spans="1:47" ht="43.5">
      <c r="A93" s="39" t="s">
        <v>47</v>
      </c>
      <c r="B93" s="39" t="s">
        <v>48</v>
      </c>
      <c r="C93" s="40" t="s">
        <v>260</v>
      </c>
      <c r="D93" s="40" t="s">
        <v>261</v>
      </c>
      <c r="E93" s="40" t="s">
        <v>286</v>
      </c>
      <c r="F93" s="1" t="s">
        <v>324</v>
      </c>
      <c r="G93" s="40" t="s">
        <v>331</v>
      </c>
      <c r="H93" s="40">
        <v>2</v>
      </c>
      <c r="I93" s="41">
        <v>42184</v>
      </c>
      <c r="J93" s="39">
        <v>-1.4737784</v>
      </c>
      <c r="K93" s="39">
        <v>29.621015499999999</v>
      </c>
      <c r="L93" s="39">
        <v>1957</v>
      </c>
      <c r="M93" s="40">
        <v>783670862</v>
      </c>
      <c r="N93" s="41" t="s">
        <v>332</v>
      </c>
      <c r="O93" s="90">
        <f>30*25</f>
        <v>750</v>
      </c>
      <c r="P93" s="40">
        <v>2</v>
      </c>
      <c r="Q93" s="40" t="s">
        <v>150</v>
      </c>
      <c r="R93" s="40" t="s">
        <v>266</v>
      </c>
      <c r="S93" s="40" t="s">
        <v>271</v>
      </c>
      <c r="T93" s="42">
        <v>1</v>
      </c>
      <c r="U93" s="43">
        <v>100</v>
      </c>
      <c r="V93" s="98">
        <f>AVERAGE(20,5,30,7,10,5,15,10,2,30,20,20,10,5,15,5,5,5,5,10,5,10,5,1,5,5,2,15,5,2,15,7,2,5,2,25,10,5,20,10,10,5,10,5,10,10,12,10,4)</f>
        <v>9.5102040816326525</v>
      </c>
      <c r="W93" s="52">
        <v>1</v>
      </c>
      <c r="X93" s="52">
        <f>6/20*100</f>
        <v>30</v>
      </c>
      <c r="Y93" s="105">
        <f>AVERAGE(6,4,14,250,6,3,0,0,0,0,0,0,0,0,0,0,0,0,0,0)</f>
        <v>14.15</v>
      </c>
      <c r="Z93" s="35">
        <v>0</v>
      </c>
      <c r="AA93" s="37" t="s">
        <v>64</v>
      </c>
      <c r="AB93" s="46">
        <v>1</v>
      </c>
      <c r="AC93" s="44">
        <f>1/20*100</f>
        <v>5</v>
      </c>
      <c r="AD93" s="44">
        <f>AVERAGE(1,0,0,0,0,0,0,0,0,0,0,0,0,0,0,0,0,0,0,0)</f>
        <v>0.05</v>
      </c>
      <c r="AE93" s="40" t="s">
        <v>333</v>
      </c>
      <c r="AF93" s="40" t="s">
        <v>61</v>
      </c>
      <c r="AG93" s="40">
        <v>1</v>
      </c>
      <c r="AH93" s="40" t="s">
        <v>334</v>
      </c>
      <c r="AI93" s="40" t="s">
        <v>335</v>
      </c>
      <c r="AJ93" s="44">
        <v>4.76</v>
      </c>
      <c r="AK93" s="47">
        <v>0</v>
      </c>
      <c r="AL93" s="47">
        <v>0</v>
      </c>
      <c r="AM93" s="47">
        <v>0</v>
      </c>
      <c r="AN93" s="47">
        <v>0</v>
      </c>
      <c r="AO93" s="40"/>
      <c r="AP93" s="120">
        <v>1</v>
      </c>
      <c r="AQ93" s="120">
        <v>2</v>
      </c>
      <c r="AR93" s="120">
        <v>1</v>
      </c>
      <c r="AS93" s="121">
        <v>3</v>
      </c>
      <c r="AT93">
        <v>1</v>
      </c>
      <c r="AU93">
        <v>40</v>
      </c>
    </row>
    <row r="94" spans="1:47" ht="29.1">
      <c r="A94" s="28" t="s">
        <v>47</v>
      </c>
      <c r="B94" s="39" t="s">
        <v>48</v>
      </c>
      <c r="C94" s="29" t="s">
        <v>260</v>
      </c>
      <c r="D94" s="29" t="s">
        <v>307</v>
      </c>
      <c r="E94" s="29" t="s">
        <v>336</v>
      </c>
      <c r="F94" s="29" t="s">
        <v>337</v>
      </c>
      <c r="G94" s="29" t="s">
        <v>338</v>
      </c>
      <c r="H94" s="29">
        <v>23</v>
      </c>
      <c r="I94" s="30">
        <v>42187</v>
      </c>
      <c r="J94" s="28">
        <v>-1.4432389999999999</v>
      </c>
      <c r="K94" s="28">
        <v>29.705539699999999</v>
      </c>
      <c r="L94" s="28">
        <v>2003</v>
      </c>
      <c r="M94" s="29">
        <v>788519463</v>
      </c>
      <c r="N94" s="29" t="s">
        <v>339</v>
      </c>
      <c r="O94" s="89">
        <f>25*12</f>
        <v>300</v>
      </c>
      <c r="P94" s="29">
        <v>3.5</v>
      </c>
      <c r="Q94" s="29" t="s">
        <v>189</v>
      </c>
      <c r="R94" s="1" t="s">
        <v>266</v>
      </c>
      <c r="S94" s="1" t="s">
        <v>340</v>
      </c>
      <c r="T94" s="31">
        <v>1</v>
      </c>
      <c r="U94" s="31">
        <v>100</v>
      </c>
      <c r="V94" s="93">
        <f>AVERAGE(20,10,15,10,25,10,20,15,1,50,20,10,40,30,10,50,25,10,35,20,15,30,30,5,40,30,10,7,4,3,3,1,4,1,8,3,4,10,7,4,6,3,1,10,10,6,1,20,10)</f>
        <v>14.530612244897959</v>
      </c>
      <c r="W94" s="54">
        <v>0</v>
      </c>
      <c r="X94" s="54" t="s">
        <v>64</v>
      </c>
      <c r="Y94" s="103" t="s">
        <v>64</v>
      </c>
      <c r="Z94" s="35">
        <v>0</v>
      </c>
      <c r="AA94" s="37" t="s">
        <v>64</v>
      </c>
      <c r="AB94" s="33" t="s">
        <v>58</v>
      </c>
      <c r="AC94" s="34" t="s">
        <v>64</v>
      </c>
      <c r="AD94" s="34" t="s">
        <v>64</v>
      </c>
      <c r="AE94" s="29" t="s">
        <v>268</v>
      </c>
      <c r="AF94" s="29" t="s">
        <v>61</v>
      </c>
      <c r="AG94" s="29">
        <v>0</v>
      </c>
      <c r="AH94" s="29" t="s">
        <v>61</v>
      </c>
      <c r="AI94" s="29" t="s">
        <v>302</v>
      </c>
      <c r="AJ94" s="31">
        <v>4.17</v>
      </c>
      <c r="AK94" s="31">
        <v>0</v>
      </c>
      <c r="AL94" s="31">
        <v>0</v>
      </c>
      <c r="AM94" s="31">
        <v>0</v>
      </c>
      <c r="AN94" s="31">
        <v>0</v>
      </c>
      <c r="AO94" s="29"/>
      <c r="AP94" s="120">
        <v>1</v>
      </c>
      <c r="AQ94" s="120">
        <v>3</v>
      </c>
      <c r="AR94" s="120">
        <v>1</v>
      </c>
      <c r="AS94" s="121">
        <v>2</v>
      </c>
      <c r="AT94">
        <v>1</v>
      </c>
      <c r="AU94">
        <v>15</v>
      </c>
    </row>
    <row r="95" spans="1:47" ht="29.1">
      <c r="A95" s="28" t="s">
        <v>47</v>
      </c>
      <c r="B95" s="39" t="s">
        <v>48</v>
      </c>
      <c r="C95" s="29" t="s">
        <v>260</v>
      </c>
      <c r="D95" s="29" t="s">
        <v>307</v>
      </c>
      <c r="E95" s="29" t="s">
        <v>341</v>
      </c>
      <c r="F95" s="29" t="s">
        <v>342</v>
      </c>
      <c r="G95" s="29" t="s">
        <v>343</v>
      </c>
      <c r="H95" s="29">
        <v>42</v>
      </c>
      <c r="I95" s="30">
        <v>42194</v>
      </c>
      <c r="J95" s="29">
        <v>-1.4936971999999999</v>
      </c>
      <c r="K95" s="29">
        <v>29.837709400000001</v>
      </c>
      <c r="L95" s="29">
        <v>2007</v>
      </c>
      <c r="M95" s="29">
        <v>783934391</v>
      </c>
      <c r="N95" s="29" t="s">
        <v>344</v>
      </c>
      <c r="O95" s="89">
        <f>9*14</f>
        <v>126</v>
      </c>
      <c r="P95" s="29">
        <v>1.5</v>
      </c>
      <c r="Q95" s="29" t="s">
        <v>150</v>
      </c>
      <c r="R95" s="1" t="s">
        <v>266</v>
      </c>
      <c r="S95" s="29" t="s">
        <v>345</v>
      </c>
      <c r="T95" s="31">
        <v>0</v>
      </c>
      <c r="U95" s="31" t="s">
        <v>64</v>
      </c>
      <c r="V95" s="93" t="s">
        <v>64</v>
      </c>
      <c r="W95" s="54">
        <v>1</v>
      </c>
      <c r="X95" s="54">
        <f>1/20*100</f>
        <v>5</v>
      </c>
      <c r="Y95" s="104">
        <f>AVERAGE(7,0,0,0,0,0,0,0,0,0,0,0,0,0,0,0,0,0,0,0)</f>
        <v>0.35</v>
      </c>
      <c r="Z95" s="35">
        <v>0</v>
      </c>
      <c r="AA95" s="37" t="s">
        <v>64</v>
      </c>
      <c r="AB95" s="33" t="s">
        <v>58</v>
      </c>
      <c r="AC95" s="34" t="s">
        <v>64</v>
      </c>
      <c r="AD95" s="34" t="s">
        <v>64</v>
      </c>
      <c r="AE95" s="29" t="s">
        <v>346</v>
      </c>
      <c r="AF95" s="29" t="s">
        <v>61</v>
      </c>
      <c r="AG95" s="29">
        <v>2</v>
      </c>
      <c r="AH95" s="29" t="s">
        <v>61</v>
      </c>
      <c r="AI95" s="29" t="s">
        <v>61</v>
      </c>
      <c r="AJ95" s="34" t="s">
        <v>64</v>
      </c>
      <c r="AK95" s="34" t="s">
        <v>64</v>
      </c>
      <c r="AL95" s="34" t="s">
        <v>64</v>
      </c>
      <c r="AM95" s="34" t="s">
        <v>64</v>
      </c>
      <c r="AN95" s="34" t="s">
        <v>64</v>
      </c>
      <c r="AO95" s="29"/>
      <c r="AP95" s="120">
        <v>1</v>
      </c>
      <c r="AQ95" s="120">
        <v>2</v>
      </c>
      <c r="AR95" s="120">
        <v>1</v>
      </c>
      <c r="AS95" s="121">
        <v>3</v>
      </c>
      <c r="AT95">
        <v>1</v>
      </c>
      <c r="AU95">
        <v>20</v>
      </c>
    </row>
    <row r="96" spans="1:47" ht="29.1">
      <c r="A96" s="28" t="s">
        <v>47</v>
      </c>
      <c r="B96" s="39" t="s">
        <v>48</v>
      </c>
      <c r="C96" s="29" t="s">
        <v>260</v>
      </c>
      <c r="D96" s="29" t="s">
        <v>307</v>
      </c>
      <c r="E96" s="29" t="s">
        <v>347</v>
      </c>
      <c r="F96" s="29" t="s">
        <v>348</v>
      </c>
      <c r="G96" s="29" t="s">
        <v>279</v>
      </c>
      <c r="H96" s="29">
        <v>43</v>
      </c>
      <c r="I96" s="30">
        <v>42194</v>
      </c>
      <c r="J96" s="29">
        <v>-1.4853324999999999</v>
      </c>
      <c r="K96" s="29">
        <v>29.8139915</v>
      </c>
      <c r="L96" s="29">
        <v>2007</v>
      </c>
      <c r="M96" s="29">
        <v>0</v>
      </c>
      <c r="N96" s="29" t="s">
        <v>349</v>
      </c>
      <c r="O96" s="89">
        <f>23*14</f>
        <v>322</v>
      </c>
      <c r="P96" s="29">
        <v>2.5</v>
      </c>
      <c r="Q96" s="29" t="s">
        <v>150</v>
      </c>
      <c r="R96" s="1" t="s">
        <v>266</v>
      </c>
      <c r="S96" s="29" t="s">
        <v>345</v>
      </c>
      <c r="T96" s="31">
        <v>1</v>
      </c>
      <c r="U96" s="31">
        <f>4/20*100</f>
        <v>20</v>
      </c>
      <c r="V96" s="93">
        <f>AVERAGE(1,2,1,1,1)</f>
        <v>1.2</v>
      </c>
      <c r="W96" s="57">
        <v>0</v>
      </c>
      <c r="X96" s="57" t="s">
        <v>64</v>
      </c>
      <c r="Y96" s="104" t="s">
        <v>64</v>
      </c>
      <c r="Z96" s="6">
        <v>0</v>
      </c>
      <c r="AA96" s="12" t="s">
        <v>64</v>
      </c>
      <c r="AB96" s="33" t="s">
        <v>58</v>
      </c>
      <c r="AC96" s="34" t="s">
        <v>64</v>
      </c>
      <c r="AD96" s="34" t="s">
        <v>64</v>
      </c>
      <c r="AE96" s="29" t="s">
        <v>315</v>
      </c>
      <c r="AF96" s="29" t="s">
        <v>350</v>
      </c>
      <c r="AG96" s="29">
        <v>2</v>
      </c>
      <c r="AH96" s="29" t="s">
        <v>61</v>
      </c>
      <c r="AI96" s="29" t="s">
        <v>100</v>
      </c>
      <c r="AJ96" s="34" t="s">
        <v>64</v>
      </c>
      <c r="AK96" s="34" t="s">
        <v>64</v>
      </c>
      <c r="AL96" s="34" t="s">
        <v>64</v>
      </c>
      <c r="AM96" s="34" t="s">
        <v>64</v>
      </c>
      <c r="AN96" s="34" t="s">
        <v>64</v>
      </c>
      <c r="AO96" s="29"/>
      <c r="AP96" s="120">
        <v>1</v>
      </c>
      <c r="AQ96" s="120">
        <v>8</v>
      </c>
      <c r="AR96" s="120">
        <v>1</v>
      </c>
      <c r="AS96" s="121">
        <v>4</v>
      </c>
      <c r="AT96" s="120">
        <v>1</v>
      </c>
      <c r="AU96" s="120">
        <v>40</v>
      </c>
    </row>
    <row r="97" spans="1:47" ht="29.1">
      <c r="A97" s="28" t="s">
        <v>47</v>
      </c>
      <c r="B97" s="39" t="s">
        <v>48</v>
      </c>
      <c r="C97" s="29" t="s">
        <v>260</v>
      </c>
      <c r="D97" s="29" t="s">
        <v>261</v>
      </c>
      <c r="E97" s="29" t="s">
        <v>351</v>
      </c>
      <c r="F97" s="29" t="s">
        <v>352</v>
      </c>
      <c r="G97" s="29" t="s">
        <v>353</v>
      </c>
      <c r="H97" s="29">
        <v>3</v>
      </c>
      <c r="I97" s="30">
        <v>42184</v>
      </c>
      <c r="J97" s="28">
        <v>-1.4653799999999999</v>
      </c>
      <c r="K97" s="28">
        <v>29.615860000000001</v>
      </c>
      <c r="L97" s="28">
        <v>2014</v>
      </c>
      <c r="M97" s="29">
        <v>0</v>
      </c>
      <c r="N97" s="30" t="s">
        <v>354</v>
      </c>
      <c r="O97" s="89">
        <f>24*45</f>
        <v>1080</v>
      </c>
      <c r="P97" s="29">
        <v>2.5</v>
      </c>
      <c r="Q97" s="29" t="s">
        <v>55</v>
      </c>
      <c r="R97" s="29" t="s">
        <v>266</v>
      </c>
      <c r="S97" s="29" t="s">
        <v>355</v>
      </c>
      <c r="T97" s="35">
        <v>1</v>
      </c>
      <c r="U97" s="36">
        <f>18/20*100</f>
        <v>90</v>
      </c>
      <c r="V97" s="97">
        <f>AVERAGE(60,10,4,10,6,10,5,16,12,7,10,5,17,12,7,14,10,2,5,2,7,5,7,2,10,10,1,12,10,5,8,2,10,5,7,3,5,5,5)</f>
        <v>8.7948717948717956</v>
      </c>
      <c r="W97" s="57">
        <v>0</v>
      </c>
      <c r="X97" s="57" t="s">
        <v>64</v>
      </c>
      <c r="Y97" s="104" t="s">
        <v>64</v>
      </c>
      <c r="Z97" s="6">
        <v>0</v>
      </c>
      <c r="AA97" s="12" t="s">
        <v>64</v>
      </c>
      <c r="AB97" s="33" t="s">
        <v>58</v>
      </c>
      <c r="AC97" s="34" t="s">
        <v>64</v>
      </c>
      <c r="AD97" s="34" t="s">
        <v>64</v>
      </c>
      <c r="AE97" s="29" t="s">
        <v>356</v>
      </c>
      <c r="AF97" s="29" t="s">
        <v>61</v>
      </c>
      <c r="AG97" s="29">
        <v>0</v>
      </c>
      <c r="AH97" s="29" t="s">
        <v>61</v>
      </c>
      <c r="AI97" s="29" t="s">
        <v>357</v>
      </c>
      <c r="AJ97" s="34" t="s">
        <v>64</v>
      </c>
      <c r="AK97" s="34" t="s">
        <v>64</v>
      </c>
      <c r="AL97" s="34" t="s">
        <v>64</v>
      </c>
      <c r="AM97" s="34" t="s">
        <v>64</v>
      </c>
      <c r="AN97" s="34" t="s">
        <v>64</v>
      </c>
      <c r="AO97" s="29"/>
      <c r="AP97" s="120">
        <v>1</v>
      </c>
      <c r="AQ97" s="120">
        <v>4</v>
      </c>
      <c r="AR97" s="120">
        <v>1</v>
      </c>
      <c r="AS97" s="121">
        <v>3</v>
      </c>
      <c r="AT97">
        <v>1</v>
      </c>
      <c r="AU97">
        <v>40</v>
      </c>
    </row>
    <row r="98" spans="1:47" ht="29.1">
      <c r="A98" s="28" t="s">
        <v>47</v>
      </c>
      <c r="B98" s="39" t="s">
        <v>48</v>
      </c>
      <c r="C98" s="29" t="s">
        <v>260</v>
      </c>
      <c r="D98" s="29" t="s">
        <v>307</v>
      </c>
      <c r="E98" s="29" t="s">
        <v>316</v>
      </c>
      <c r="F98" s="29" t="s">
        <v>358</v>
      </c>
      <c r="G98" s="29" t="s">
        <v>359</v>
      </c>
      <c r="H98" s="29">
        <v>28</v>
      </c>
      <c r="I98" s="30">
        <v>42193</v>
      </c>
      <c r="J98" s="28">
        <v>-1.4054431000000001</v>
      </c>
      <c r="K98" s="28">
        <v>29.800933799999999</v>
      </c>
      <c r="L98" s="28">
        <v>2037</v>
      </c>
      <c r="M98" s="29">
        <v>782917100</v>
      </c>
      <c r="N98" s="29" t="s">
        <v>360</v>
      </c>
      <c r="O98" s="89">
        <v>2037</v>
      </c>
      <c r="P98" s="29">
        <v>2.5</v>
      </c>
      <c r="Q98" s="29" t="s">
        <v>150</v>
      </c>
      <c r="R98" s="1" t="s">
        <v>266</v>
      </c>
      <c r="S98" s="29" t="s">
        <v>281</v>
      </c>
      <c r="T98" s="31">
        <v>1</v>
      </c>
      <c r="U98" s="31">
        <f>18/20*100</f>
        <v>90</v>
      </c>
      <c r="V98" s="93">
        <f>AVERAGE(5,5,1,5,1,1,2,1,5,2,1,1,10,5,10,3,10,5,2,2,5,2,10,5,5,2,7,2,1,5,100)</f>
        <v>7.129032258064516</v>
      </c>
      <c r="W98" s="54">
        <v>0</v>
      </c>
      <c r="X98" s="54" t="s">
        <v>64</v>
      </c>
      <c r="Y98" s="103" t="s">
        <v>64</v>
      </c>
      <c r="Z98" s="35">
        <v>0</v>
      </c>
      <c r="AA98" s="37" t="s">
        <v>64</v>
      </c>
      <c r="AB98" s="33" t="s">
        <v>58</v>
      </c>
      <c r="AC98" s="34" t="s">
        <v>64</v>
      </c>
      <c r="AD98" s="34" t="s">
        <v>64</v>
      </c>
      <c r="AE98" s="29" t="s">
        <v>312</v>
      </c>
      <c r="AF98" s="29" t="s">
        <v>61</v>
      </c>
      <c r="AG98" s="29">
        <v>0</v>
      </c>
      <c r="AH98" s="29" t="s">
        <v>61</v>
      </c>
      <c r="AI98" s="29" t="s">
        <v>292</v>
      </c>
      <c r="AJ98" s="34" t="s">
        <v>64</v>
      </c>
      <c r="AK98" s="34" t="s">
        <v>64</v>
      </c>
      <c r="AL98" s="34" t="s">
        <v>64</v>
      </c>
      <c r="AM98" s="34" t="s">
        <v>64</v>
      </c>
      <c r="AN98" s="34" t="s">
        <v>64</v>
      </c>
      <c r="AO98" s="29"/>
      <c r="AP98" s="120">
        <v>1</v>
      </c>
      <c r="AQ98" s="120">
        <v>2</v>
      </c>
      <c r="AR98" s="120">
        <v>1</v>
      </c>
      <c r="AS98" s="121">
        <v>3</v>
      </c>
      <c r="AT98">
        <v>1</v>
      </c>
      <c r="AU98">
        <v>5</v>
      </c>
    </row>
    <row r="99" spans="1:47">
      <c r="A99" s="28" t="s">
        <v>47</v>
      </c>
      <c r="B99" s="39" t="s">
        <v>48</v>
      </c>
      <c r="C99" s="29" t="s">
        <v>260</v>
      </c>
      <c r="D99" s="29" t="s">
        <v>307</v>
      </c>
      <c r="E99" s="29" t="s">
        <v>361</v>
      </c>
      <c r="F99" s="29" t="s">
        <v>362</v>
      </c>
      <c r="G99" s="29" t="s">
        <v>363</v>
      </c>
      <c r="H99" s="29">
        <v>30</v>
      </c>
      <c r="I99" s="30">
        <v>42193</v>
      </c>
      <c r="J99" s="29">
        <v>-1.4191008000000001</v>
      </c>
      <c r="K99" s="29">
        <v>29.833763099999999</v>
      </c>
      <c r="L99" s="29">
        <v>2057</v>
      </c>
      <c r="M99" s="29">
        <v>782908270</v>
      </c>
      <c r="N99" s="29" t="s">
        <v>364</v>
      </c>
      <c r="O99" s="89">
        <f>35*30</f>
        <v>1050</v>
      </c>
      <c r="P99" s="29">
        <v>2</v>
      </c>
      <c r="Q99" s="29" t="s">
        <v>150</v>
      </c>
      <c r="R99" s="1" t="s">
        <v>266</v>
      </c>
      <c r="S99" s="29" t="s">
        <v>345</v>
      </c>
      <c r="T99" s="31">
        <v>1</v>
      </c>
      <c r="U99" s="31">
        <f>13/20*100</f>
        <v>65</v>
      </c>
      <c r="V99" s="93">
        <f>AVERAGE(2,1,3,1,5,7,1,5,4,1,1,1,5,1,2,1,1,1)</f>
        <v>2.3888888888888888</v>
      </c>
      <c r="W99" s="57">
        <v>0</v>
      </c>
      <c r="X99" s="57" t="s">
        <v>64</v>
      </c>
      <c r="Y99" s="104" t="s">
        <v>64</v>
      </c>
      <c r="Z99" s="6">
        <v>0</v>
      </c>
      <c r="AA99" s="12" t="s">
        <v>64</v>
      </c>
      <c r="AB99" s="33" t="s">
        <v>58</v>
      </c>
      <c r="AC99" s="34" t="s">
        <v>64</v>
      </c>
      <c r="AD99" s="34" t="s">
        <v>64</v>
      </c>
      <c r="AE99" s="29" t="s">
        <v>312</v>
      </c>
      <c r="AF99" s="29" t="s">
        <v>61</v>
      </c>
      <c r="AG99" s="29">
        <v>1</v>
      </c>
      <c r="AH99" s="29" t="s">
        <v>61</v>
      </c>
      <c r="AI99" s="29" t="s">
        <v>168</v>
      </c>
      <c r="AJ99" s="34" t="s">
        <v>64</v>
      </c>
      <c r="AK99" s="34" t="s">
        <v>64</v>
      </c>
      <c r="AL99" s="34" t="s">
        <v>64</v>
      </c>
      <c r="AM99" s="34" t="s">
        <v>64</v>
      </c>
      <c r="AN99" s="34" t="s">
        <v>64</v>
      </c>
      <c r="AO99" s="29"/>
      <c r="AP99" s="120">
        <v>1</v>
      </c>
      <c r="AQ99" s="120">
        <v>2</v>
      </c>
      <c r="AR99" s="120">
        <v>1</v>
      </c>
      <c r="AS99" s="121">
        <v>4</v>
      </c>
      <c r="AT99">
        <v>1</v>
      </c>
      <c r="AU99">
        <v>30</v>
      </c>
    </row>
    <row r="100" spans="1:47" ht="29.1">
      <c r="A100" s="28" t="s">
        <v>47</v>
      </c>
      <c r="B100" s="39" t="s">
        <v>48</v>
      </c>
      <c r="C100" s="29" t="s">
        <v>260</v>
      </c>
      <c r="D100" s="29" t="s">
        <v>307</v>
      </c>
      <c r="E100" s="38" t="s">
        <v>361</v>
      </c>
      <c r="F100" s="29" t="s">
        <v>362</v>
      </c>
      <c r="G100" s="29" t="s">
        <v>365</v>
      </c>
      <c r="H100" s="29">
        <v>29</v>
      </c>
      <c r="I100" s="30">
        <v>42193</v>
      </c>
      <c r="J100" s="29">
        <v>-1.4139249</v>
      </c>
      <c r="K100" s="29">
        <v>29.8217316</v>
      </c>
      <c r="L100" s="29">
        <v>2063</v>
      </c>
      <c r="M100" s="29">
        <v>78335507</v>
      </c>
      <c r="N100" s="29" t="s">
        <v>366</v>
      </c>
      <c r="O100" s="89">
        <f>35*15</f>
        <v>525</v>
      </c>
      <c r="P100" s="29">
        <v>3</v>
      </c>
      <c r="Q100" s="29" t="s">
        <v>189</v>
      </c>
      <c r="R100" s="1" t="s">
        <v>266</v>
      </c>
      <c r="S100" s="29" t="s">
        <v>281</v>
      </c>
      <c r="T100" s="31">
        <v>1</v>
      </c>
      <c r="U100" s="31">
        <f>14/20*100</f>
        <v>70</v>
      </c>
      <c r="V100" s="93">
        <f>AVERAGE(5,10,5,5,5,2,10,5,1,10,5,5,2,5,1,5,1,5,1,5,1,5,10,5,1)</f>
        <v>4.5999999999999996</v>
      </c>
      <c r="W100" s="54">
        <v>0</v>
      </c>
      <c r="X100" s="54" t="s">
        <v>64</v>
      </c>
      <c r="Y100" s="103" t="s">
        <v>64</v>
      </c>
      <c r="Z100" s="35">
        <v>0</v>
      </c>
      <c r="AA100" s="37" t="s">
        <v>64</v>
      </c>
      <c r="AB100" s="33" t="s">
        <v>58</v>
      </c>
      <c r="AC100" s="34" t="s">
        <v>64</v>
      </c>
      <c r="AD100" s="34" t="s">
        <v>64</v>
      </c>
      <c r="AE100" s="29" t="s">
        <v>312</v>
      </c>
      <c r="AF100" s="29" t="s">
        <v>61</v>
      </c>
      <c r="AG100" s="29">
        <v>0</v>
      </c>
      <c r="AH100" s="29" t="s">
        <v>61</v>
      </c>
      <c r="AI100" s="29" t="s">
        <v>284</v>
      </c>
      <c r="AJ100" s="31">
        <v>4.53</v>
      </c>
      <c r="AK100" s="31">
        <v>0</v>
      </c>
      <c r="AL100" s="31">
        <v>0</v>
      </c>
      <c r="AM100" s="31">
        <v>0</v>
      </c>
      <c r="AN100" s="31">
        <v>0</v>
      </c>
      <c r="AO100" s="29"/>
      <c r="AP100" s="120">
        <v>1</v>
      </c>
      <c r="AQ100" s="120">
        <v>2</v>
      </c>
      <c r="AR100" s="120">
        <v>1</v>
      </c>
      <c r="AS100" s="121">
        <v>3</v>
      </c>
      <c r="AT100">
        <v>1</v>
      </c>
      <c r="AU100">
        <v>50</v>
      </c>
    </row>
    <row r="101" spans="1:47" ht="29.1">
      <c r="A101" s="28" t="s">
        <v>47</v>
      </c>
      <c r="B101" s="39" t="s">
        <v>48</v>
      </c>
      <c r="C101" s="29" t="s">
        <v>260</v>
      </c>
      <c r="D101" s="29" t="s">
        <v>261</v>
      </c>
      <c r="E101" s="29" t="s">
        <v>351</v>
      </c>
      <c r="F101" s="29" t="s">
        <v>352</v>
      </c>
      <c r="G101" s="29" t="s">
        <v>367</v>
      </c>
      <c r="H101" s="29">
        <v>4</v>
      </c>
      <c r="I101" s="30">
        <v>42184</v>
      </c>
      <c r="J101" s="28">
        <v>-1.456442</v>
      </c>
      <c r="K101" s="28">
        <v>29.609285400000001</v>
      </c>
      <c r="L101" s="28">
        <v>2076</v>
      </c>
      <c r="M101" s="29">
        <v>783117309</v>
      </c>
      <c r="N101" s="30" t="s">
        <v>368</v>
      </c>
      <c r="O101" s="89">
        <f>26*16</f>
        <v>416</v>
      </c>
      <c r="P101" s="29">
        <v>2.5</v>
      </c>
      <c r="Q101" s="29" t="s">
        <v>128</v>
      </c>
      <c r="R101" s="1" t="s">
        <v>266</v>
      </c>
      <c r="S101" s="29" t="s">
        <v>267</v>
      </c>
      <c r="T101" s="35">
        <v>1</v>
      </c>
      <c r="U101" s="36">
        <f>18/20*100</f>
        <v>90</v>
      </c>
      <c r="V101" s="97">
        <f>AVERAGE(16,10,6,12,5,2,10,5,2,8,5,7,3,5,2,6,2,3,2,4,2,7,1,12,7,2,10,2,3,1,5,2,5,5,5,2,2,2)</f>
        <v>5</v>
      </c>
      <c r="W101" s="55">
        <v>1</v>
      </c>
      <c r="X101" s="55">
        <f>2/20*100</f>
        <v>10</v>
      </c>
      <c r="Y101" s="102">
        <f>AVERAGE(1,1,0,0,0,0,0,0,0,0,0,0,0,0,0,0,0,0,0,0)</f>
        <v>0.1</v>
      </c>
      <c r="Z101" s="35">
        <v>1</v>
      </c>
      <c r="AA101" s="37">
        <f>AVERAGE(2,1,0,0,0,0,0,0,0,0,0,0,0,0,0,0,0,0,0,0)</f>
        <v>0.15</v>
      </c>
      <c r="AB101" s="33" t="s">
        <v>58</v>
      </c>
      <c r="AC101" s="34" t="s">
        <v>64</v>
      </c>
      <c r="AD101" s="34" t="s">
        <v>64</v>
      </c>
      <c r="AE101" s="29" t="s">
        <v>369</v>
      </c>
      <c r="AF101" s="29" t="s">
        <v>61</v>
      </c>
      <c r="AG101" s="29">
        <v>4</v>
      </c>
      <c r="AH101" s="29" t="s">
        <v>61</v>
      </c>
      <c r="AI101" s="29" t="s">
        <v>370</v>
      </c>
      <c r="AJ101" s="34" t="s">
        <v>64</v>
      </c>
      <c r="AK101" s="34" t="s">
        <v>64</v>
      </c>
      <c r="AL101" s="34" t="s">
        <v>64</v>
      </c>
      <c r="AM101" s="34" t="s">
        <v>64</v>
      </c>
      <c r="AN101" s="34" t="s">
        <v>64</v>
      </c>
      <c r="AO101" s="29"/>
      <c r="AP101" s="120">
        <v>1</v>
      </c>
      <c r="AQ101" s="120">
        <v>2</v>
      </c>
      <c r="AR101" s="120">
        <v>1</v>
      </c>
      <c r="AS101" s="121">
        <v>3</v>
      </c>
      <c r="AT101">
        <v>1</v>
      </c>
      <c r="AU101">
        <v>30</v>
      </c>
    </row>
    <row r="102" spans="1:47" ht="29.1">
      <c r="A102" s="28" t="s">
        <v>47</v>
      </c>
      <c r="B102" s="39" t="s">
        <v>48</v>
      </c>
      <c r="C102" s="29" t="s">
        <v>260</v>
      </c>
      <c r="D102" s="29" t="s">
        <v>307</v>
      </c>
      <c r="E102" s="29" t="s">
        <v>371</v>
      </c>
      <c r="F102" s="29" t="s">
        <v>372</v>
      </c>
      <c r="G102" s="29" t="s">
        <v>373</v>
      </c>
      <c r="H102" s="29">
        <v>37</v>
      </c>
      <c r="I102" s="30">
        <v>42194</v>
      </c>
      <c r="J102" s="29">
        <v>-1.585942</v>
      </c>
      <c r="K102" s="29">
        <v>29.919387799999999</v>
      </c>
      <c r="L102" s="29">
        <v>2077</v>
      </c>
      <c r="M102" s="29">
        <v>0</v>
      </c>
      <c r="N102" s="29" t="s">
        <v>374</v>
      </c>
      <c r="O102" s="89">
        <f>15*30</f>
        <v>450</v>
      </c>
      <c r="P102" s="29">
        <v>3</v>
      </c>
      <c r="Q102" s="29" t="s">
        <v>189</v>
      </c>
      <c r="R102" s="1" t="s">
        <v>266</v>
      </c>
      <c r="S102" s="29" t="s">
        <v>281</v>
      </c>
      <c r="T102" s="31">
        <v>1</v>
      </c>
      <c r="U102" s="31">
        <f>10/20*100</f>
        <v>50</v>
      </c>
      <c r="V102" s="93">
        <f>AVERAGE(1,1,1,1,1,2,1,3,2,5,2,1,3,1,1,4,2,1)</f>
        <v>1.8333333333333333</v>
      </c>
      <c r="W102" s="54">
        <v>0</v>
      </c>
      <c r="X102" s="54" t="s">
        <v>64</v>
      </c>
      <c r="Y102" s="103" t="s">
        <v>64</v>
      </c>
      <c r="Z102" s="35">
        <v>0</v>
      </c>
      <c r="AA102" s="37" t="s">
        <v>64</v>
      </c>
      <c r="AB102" s="33" t="s">
        <v>58</v>
      </c>
      <c r="AC102" s="34" t="s">
        <v>64</v>
      </c>
      <c r="AD102" s="34" t="s">
        <v>64</v>
      </c>
      <c r="AE102" s="29" t="s">
        <v>312</v>
      </c>
      <c r="AF102" s="29" t="s">
        <v>61</v>
      </c>
      <c r="AG102" s="29">
        <v>1</v>
      </c>
      <c r="AH102" s="29" t="s">
        <v>61</v>
      </c>
      <c r="AI102" s="29" t="s">
        <v>168</v>
      </c>
      <c r="AJ102" s="31">
        <v>4.03</v>
      </c>
      <c r="AK102" s="31">
        <v>0</v>
      </c>
      <c r="AL102" s="31">
        <v>0</v>
      </c>
      <c r="AM102" s="31">
        <v>0</v>
      </c>
      <c r="AN102" s="31">
        <v>0</v>
      </c>
      <c r="AO102" s="29"/>
      <c r="AP102" s="120">
        <v>1</v>
      </c>
      <c r="AQ102" s="120">
        <v>2</v>
      </c>
      <c r="AR102" s="120">
        <v>1</v>
      </c>
      <c r="AS102" s="121">
        <v>3</v>
      </c>
      <c r="AT102">
        <v>1</v>
      </c>
      <c r="AU102">
        <v>20</v>
      </c>
    </row>
    <row r="103" spans="1:47" ht="29.1">
      <c r="A103" s="28" t="s">
        <v>47</v>
      </c>
      <c r="B103" s="39" t="s">
        <v>48</v>
      </c>
      <c r="C103" s="29" t="s">
        <v>260</v>
      </c>
      <c r="D103" s="29" t="s">
        <v>307</v>
      </c>
      <c r="E103" s="29" t="s">
        <v>375</v>
      </c>
      <c r="F103" s="29" t="s">
        <v>376</v>
      </c>
      <c r="G103" s="29" t="s">
        <v>377</v>
      </c>
      <c r="H103" s="29">
        <v>57</v>
      </c>
      <c r="I103" s="30">
        <v>42200</v>
      </c>
      <c r="J103" s="29">
        <v>-1.3808498</v>
      </c>
      <c r="K103" s="29">
        <v>29.729587599999999</v>
      </c>
      <c r="L103" s="29">
        <v>2088</v>
      </c>
      <c r="M103" s="29">
        <v>0</v>
      </c>
      <c r="N103" s="29" t="s">
        <v>378</v>
      </c>
      <c r="O103" s="89">
        <f>6*7</f>
        <v>42</v>
      </c>
      <c r="P103" s="29">
        <v>2.5</v>
      </c>
      <c r="Q103" s="29" t="s">
        <v>189</v>
      </c>
      <c r="R103" s="1" t="s">
        <v>266</v>
      </c>
      <c r="S103" s="1" t="s">
        <v>340</v>
      </c>
      <c r="T103" s="31">
        <v>1</v>
      </c>
      <c r="U103" s="31">
        <v>100</v>
      </c>
      <c r="V103" s="93">
        <f>AVERAGE(50,20,40,20,30,10,20,10,35,15,15,10,25,10,30,20,10,10,20,10)</f>
        <v>20.5</v>
      </c>
      <c r="W103" s="54">
        <v>1</v>
      </c>
      <c r="X103" s="54">
        <f>1/20*100</f>
        <v>5</v>
      </c>
      <c r="Y103" s="103">
        <f>1/20</f>
        <v>0.05</v>
      </c>
      <c r="Z103" s="6">
        <v>0</v>
      </c>
      <c r="AA103" s="12" t="s">
        <v>64</v>
      </c>
      <c r="AB103" s="33" t="s">
        <v>84</v>
      </c>
      <c r="AC103" s="32">
        <f>4/10*100</f>
        <v>40</v>
      </c>
      <c r="AD103" s="31">
        <v>1</v>
      </c>
      <c r="AE103" s="29" t="s">
        <v>315</v>
      </c>
      <c r="AF103" s="29" t="s">
        <v>61</v>
      </c>
      <c r="AG103" s="29">
        <v>0</v>
      </c>
      <c r="AH103" s="29" t="s">
        <v>379</v>
      </c>
      <c r="AI103" s="29" t="s">
        <v>273</v>
      </c>
      <c r="AJ103" s="34" t="s">
        <v>64</v>
      </c>
      <c r="AK103" s="34" t="s">
        <v>64</v>
      </c>
      <c r="AL103" s="34" t="s">
        <v>64</v>
      </c>
      <c r="AM103" s="34" t="s">
        <v>64</v>
      </c>
      <c r="AN103" s="34" t="s">
        <v>64</v>
      </c>
      <c r="AO103" s="29"/>
      <c r="AP103" s="120">
        <v>1</v>
      </c>
      <c r="AQ103" s="121">
        <v>4</v>
      </c>
      <c r="AR103" s="120">
        <v>1</v>
      </c>
      <c r="AS103" s="121">
        <v>3</v>
      </c>
      <c r="AT103">
        <v>0</v>
      </c>
      <c r="AU103">
        <v>0</v>
      </c>
    </row>
    <row r="104" spans="1:47" ht="29.1">
      <c r="A104" s="28" t="s">
        <v>47</v>
      </c>
      <c r="B104" s="39" t="s">
        <v>48</v>
      </c>
      <c r="C104" s="29" t="s">
        <v>260</v>
      </c>
      <c r="D104" s="29" t="s">
        <v>380</v>
      </c>
      <c r="E104" s="29" t="s">
        <v>381</v>
      </c>
      <c r="F104" s="29" t="s">
        <v>382</v>
      </c>
      <c r="G104" s="29" t="s">
        <v>383</v>
      </c>
      <c r="H104" s="29">
        <v>52</v>
      </c>
      <c r="I104" s="30">
        <v>42199</v>
      </c>
      <c r="J104" s="29">
        <v>-1.7436377999999999</v>
      </c>
      <c r="K104" s="29">
        <v>29.543777500000001</v>
      </c>
      <c r="L104" s="29">
        <v>2118</v>
      </c>
      <c r="M104" s="29">
        <v>787413808</v>
      </c>
      <c r="N104" s="29" t="s">
        <v>384</v>
      </c>
      <c r="O104" s="89">
        <f>15*30</f>
        <v>450</v>
      </c>
      <c r="P104" s="29">
        <v>3</v>
      </c>
      <c r="Q104" s="29" t="s">
        <v>128</v>
      </c>
      <c r="R104" s="1" t="s">
        <v>266</v>
      </c>
      <c r="S104" s="29" t="s">
        <v>385</v>
      </c>
      <c r="T104" s="31">
        <v>0</v>
      </c>
      <c r="U104" s="31" t="s">
        <v>64</v>
      </c>
      <c r="V104" s="93" t="s">
        <v>64</v>
      </c>
      <c r="W104" s="57">
        <v>0</v>
      </c>
      <c r="X104" s="57" t="s">
        <v>64</v>
      </c>
      <c r="Y104" s="104" t="s">
        <v>64</v>
      </c>
      <c r="Z104" s="6">
        <v>0</v>
      </c>
      <c r="AA104" s="12" t="s">
        <v>64</v>
      </c>
      <c r="AB104" s="33" t="s">
        <v>58</v>
      </c>
      <c r="AC104" s="34" t="s">
        <v>64</v>
      </c>
      <c r="AD104" s="34" t="s">
        <v>64</v>
      </c>
      <c r="AE104" s="29" t="s">
        <v>315</v>
      </c>
      <c r="AF104" s="29" t="s">
        <v>386</v>
      </c>
      <c r="AG104" s="29">
        <v>1</v>
      </c>
      <c r="AH104" s="29" t="s">
        <v>61</v>
      </c>
      <c r="AI104" s="29" t="s">
        <v>196</v>
      </c>
      <c r="AJ104" s="31">
        <v>3.41</v>
      </c>
      <c r="AK104" s="31">
        <v>0</v>
      </c>
      <c r="AL104" s="31">
        <v>0</v>
      </c>
      <c r="AM104" s="31">
        <v>0</v>
      </c>
      <c r="AN104" s="31">
        <v>0</v>
      </c>
      <c r="AO104" s="29"/>
      <c r="AP104" s="120">
        <v>1</v>
      </c>
      <c r="AQ104" s="121">
        <v>2</v>
      </c>
      <c r="AR104" s="120">
        <v>1</v>
      </c>
      <c r="AS104" s="121">
        <v>4</v>
      </c>
      <c r="AT104">
        <v>1</v>
      </c>
      <c r="AU104">
        <v>5</v>
      </c>
    </row>
    <row r="105" spans="1:47" ht="29.1">
      <c r="A105" s="28" t="s">
        <v>47</v>
      </c>
      <c r="B105" s="39" t="s">
        <v>48</v>
      </c>
      <c r="C105" s="29" t="s">
        <v>260</v>
      </c>
      <c r="D105" s="29" t="s">
        <v>387</v>
      </c>
      <c r="E105" s="29" t="s">
        <v>309</v>
      </c>
      <c r="F105" s="29" t="s">
        <v>388</v>
      </c>
      <c r="G105" s="29" t="s">
        <v>388</v>
      </c>
      <c r="H105" s="29">
        <v>50</v>
      </c>
      <c r="I105" s="30">
        <v>42199</v>
      </c>
      <c r="J105" s="29">
        <v>-1.7464698999999999</v>
      </c>
      <c r="K105" s="29">
        <v>29.532842599999999</v>
      </c>
      <c r="L105" s="29">
        <v>2123</v>
      </c>
      <c r="M105" s="29">
        <v>788828810</v>
      </c>
      <c r="N105" s="29" t="s">
        <v>389</v>
      </c>
      <c r="O105" s="89">
        <f>35*25</f>
        <v>875</v>
      </c>
      <c r="P105" s="29">
        <v>2.5</v>
      </c>
      <c r="Q105" s="29" t="s">
        <v>55</v>
      </c>
      <c r="R105" s="1" t="s">
        <v>266</v>
      </c>
      <c r="S105" s="1" t="s">
        <v>340</v>
      </c>
      <c r="T105" s="31">
        <v>1</v>
      </c>
      <c r="U105" s="31">
        <f>14/20*100</f>
        <v>70</v>
      </c>
      <c r="V105" s="93">
        <f>AVERAGE(5,5,1,8,3,1,5,3,1,7,2,9,2,1,3,3,1,2,6,3,1,4,1,1,2)</f>
        <v>3.2</v>
      </c>
      <c r="W105" s="57">
        <v>0</v>
      </c>
      <c r="X105" s="57" t="s">
        <v>64</v>
      </c>
      <c r="Y105" s="104" t="s">
        <v>64</v>
      </c>
      <c r="Z105" s="6">
        <v>0</v>
      </c>
      <c r="AA105" s="12" t="s">
        <v>64</v>
      </c>
      <c r="AB105" s="33" t="s">
        <v>58</v>
      </c>
      <c r="AC105" s="34" t="s">
        <v>64</v>
      </c>
      <c r="AD105" s="34" t="s">
        <v>64</v>
      </c>
      <c r="AE105" s="29" t="s">
        <v>312</v>
      </c>
      <c r="AF105" s="29" t="s">
        <v>61</v>
      </c>
      <c r="AG105" s="29">
        <v>0</v>
      </c>
      <c r="AH105" s="29" t="s">
        <v>61</v>
      </c>
      <c r="AI105" s="29" t="s">
        <v>390</v>
      </c>
      <c r="AJ105" s="34" t="s">
        <v>64</v>
      </c>
      <c r="AK105" s="34" t="s">
        <v>64</v>
      </c>
      <c r="AL105" s="34" t="s">
        <v>64</v>
      </c>
      <c r="AM105" s="34" t="s">
        <v>64</v>
      </c>
      <c r="AN105" s="34" t="s">
        <v>64</v>
      </c>
      <c r="AO105" s="29"/>
      <c r="AP105" s="120">
        <v>1</v>
      </c>
      <c r="AQ105" s="121">
        <v>2</v>
      </c>
      <c r="AR105" s="120">
        <v>1</v>
      </c>
      <c r="AS105" s="121">
        <v>5</v>
      </c>
      <c r="AT105">
        <v>1</v>
      </c>
      <c r="AU105">
        <v>2</v>
      </c>
    </row>
    <row r="106" spans="1:47" ht="29.1">
      <c r="A106" s="28" t="s">
        <v>47</v>
      </c>
      <c r="B106" s="39" t="s">
        <v>48</v>
      </c>
      <c r="C106" s="29" t="s">
        <v>260</v>
      </c>
      <c r="D106" s="29" t="s">
        <v>307</v>
      </c>
      <c r="E106" s="29" t="s">
        <v>361</v>
      </c>
      <c r="F106" s="29" t="s">
        <v>300</v>
      </c>
      <c r="G106" s="29" t="s">
        <v>391</v>
      </c>
      <c r="H106" s="29">
        <v>31</v>
      </c>
      <c r="I106" s="30">
        <v>42193</v>
      </c>
      <c r="J106" s="29">
        <v>-1.4112899999999999</v>
      </c>
      <c r="K106" s="29">
        <v>29.85577</v>
      </c>
      <c r="L106" s="29">
        <v>2149</v>
      </c>
      <c r="M106" s="29">
        <v>783184123</v>
      </c>
      <c r="N106" s="29" t="s">
        <v>392</v>
      </c>
      <c r="O106" s="89">
        <f>50*45</f>
        <v>2250</v>
      </c>
      <c r="P106" s="29">
        <v>2.5</v>
      </c>
      <c r="Q106" s="29" t="s">
        <v>150</v>
      </c>
      <c r="R106" s="1" t="s">
        <v>266</v>
      </c>
      <c r="S106" s="29" t="s">
        <v>345</v>
      </c>
      <c r="T106" s="31">
        <v>1</v>
      </c>
      <c r="U106" s="31">
        <f>15/20*100</f>
        <v>75</v>
      </c>
      <c r="V106" s="93">
        <f>AVERAGE(1,1,1,1,1,1,1,5,1,3,1,1,7,4,2,10,8,3,5,2,1,4,1,5,2,2,3,1,1,5,2)</f>
        <v>2.774193548387097</v>
      </c>
      <c r="W106" s="54">
        <v>0</v>
      </c>
      <c r="X106" s="54" t="s">
        <v>64</v>
      </c>
      <c r="Y106" s="103" t="s">
        <v>64</v>
      </c>
      <c r="Z106" s="35">
        <v>0</v>
      </c>
      <c r="AA106" s="37" t="s">
        <v>64</v>
      </c>
      <c r="AB106" s="33" t="s">
        <v>58</v>
      </c>
      <c r="AC106" s="34" t="s">
        <v>64</v>
      </c>
      <c r="AD106" s="34" t="s">
        <v>64</v>
      </c>
      <c r="AE106" s="29" t="s">
        <v>312</v>
      </c>
      <c r="AF106" s="29" t="s">
        <v>61</v>
      </c>
      <c r="AG106" s="29">
        <v>0</v>
      </c>
      <c r="AH106" s="29" t="s">
        <v>393</v>
      </c>
      <c r="AI106" s="29" t="s">
        <v>273</v>
      </c>
      <c r="AJ106" s="34" t="s">
        <v>64</v>
      </c>
      <c r="AK106" s="34" t="s">
        <v>64</v>
      </c>
      <c r="AL106" s="34" t="s">
        <v>64</v>
      </c>
      <c r="AM106" s="34" t="s">
        <v>64</v>
      </c>
      <c r="AN106" s="34" t="s">
        <v>64</v>
      </c>
      <c r="AO106" s="29"/>
      <c r="AP106" s="120">
        <v>1</v>
      </c>
      <c r="AQ106" s="120">
        <v>5</v>
      </c>
      <c r="AR106" s="120">
        <v>1</v>
      </c>
      <c r="AS106" s="121">
        <v>2</v>
      </c>
      <c r="AT106">
        <v>1</v>
      </c>
      <c r="AU106">
        <v>5</v>
      </c>
    </row>
    <row r="107" spans="1:47" ht="29.1">
      <c r="A107" s="28" t="s">
        <v>47</v>
      </c>
      <c r="B107" s="39" t="s">
        <v>48</v>
      </c>
      <c r="C107" s="29" t="s">
        <v>260</v>
      </c>
      <c r="D107" s="29" t="s">
        <v>261</v>
      </c>
      <c r="E107" s="29" t="s">
        <v>351</v>
      </c>
      <c r="F107" s="29" t="s">
        <v>263</v>
      </c>
      <c r="G107" s="29" t="s">
        <v>394</v>
      </c>
      <c r="H107" s="29">
        <v>5</v>
      </c>
      <c r="I107" s="30">
        <v>42184</v>
      </c>
      <c r="J107" s="28">
        <v>-1.4523381</v>
      </c>
      <c r="K107" s="28">
        <v>29.5979767</v>
      </c>
      <c r="L107" s="28">
        <v>2160</v>
      </c>
      <c r="M107" s="29">
        <v>787923404</v>
      </c>
      <c r="N107" s="30" t="s">
        <v>395</v>
      </c>
      <c r="O107" s="89">
        <f>20*11</f>
        <v>220</v>
      </c>
      <c r="P107" s="29">
        <v>3.5</v>
      </c>
      <c r="Q107" s="29" t="s">
        <v>189</v>
      </c>
      <c r="R107" s="1" t="s">
        <v>266</v>
      </c>
      <c r="S107" s="29" t="s">
        <v>267</v>
      </c>
      <c r="T107" s="35">
        <v>1</v>
      </c>
      <c r="U107" s="36">
        <f>14/20*100</f>
        <v>70</v>
      </c>
      <c r="V107" s="97">
        <f>AVERAGE(40,20,5,30,10,20,15,5,7,2,4,1,5,7,2,5,4,10,8,23,2,7,4,25,2)</f>
        <v>10.52</v>
      </c>
      <c r="W107" s="55">
        <v>1</v>
      </c>
      <c r="X107" s="55">
        <f>1/20*100</f>
        <v>5</v>
      </c>
      <c r="Y107" s="102">
        <f>AVERAGE(1,0,0,0,0,0,0,0,0,0,0,0,0,0,0,0,0,0,0,0)</f>
        <v>0.05</v>
      </c>
      <c r="Z107" s="35">
        <v>0</v>
      </c>
      <c r="AA107" s="37" t="s">
        <v>64</v>
      </c>
      <c r="AB107" s="33" t="s">
        <v>58</v>
      </c>
      <c r="AC107" s="34" t="s">
        <v>64</v>
      </c>
      <c r="AD107" s="34" t="s">
        <v>64</v>
      </c>
      <c r="AE107" s="29" t="s">
        <v>396</v>
      </c>
      <c r="AF107" s="29" t="s">
        <v>160</v>
      </c>
      <c r="AG107" s="29">
        <v>0</v>
      </c>
      <c r="AH107" s="29" t="s">
        <v>61</v>
      </c>
      <c r="AI107" s="29" t="s">
        <v>397</v>
      </c>
      <c r="AJ107" s="34">
        <v>4.91</v>
      </c>
      <c r="AK107" s="31">
        <v>0</v>
      </c>
      <c r="AL107" s="31">
        <v>0</v>
      </c>
      <c r="AM107" s="31">
        <v>0</v>
      </c>
      <c r="AN107" s="31">
        <v>0</v>
      </c>
      <c r="AO107" s="29"/>
      <c r="AP107" s="120">
        <v>1</v>
      </c>
      <c r="AQ107" s="120">
        <v>6</v>
      </c>
      <c r="AR107" s="120">
        <v>1</v>
      </c>
      <c r="AS107" s="121">
        <v>2</v>
      </c>
      <c r="AT107">
        <v>1</v>
      </c>
      <c r="AU107">
        <v>20</v>
      </c>
    </row>
    <row r="108" spans="1:47" ht="29.1">
      <c r="A108" s="28" t="s">
        <v>47</v>
      </c>
      <c r="B108" s="39" t="s">
        <v>48</v>
      </c>
      <c r="C108" s="29" t="s">
        <v>260</v>
      </c>
      <c r="D108" s="29" t="s">
        <v>307</v>
      </c>
      <c r="E108" s="29" t="s">
        <v>336</v>
      </c>
      <c r="F108" s="29" t="s">
        <v>398</v>
      </c>
      <c r="G108" s="29" t="s">
        <v>399</v>
      </c>
      <c r="H108" s="29">
        <v>61</v>
      </c>
      <c r="I108" s="30">
        <v>42200</v>
      </c>
      <c r="J108" s="29">
        <v>-1.4292571999999999</v>
      </c>
      <c r="K108" s="29">
        <v>29.6821442</v>
      </c>
      <c r="L108" s="29">
        <v>2167</v>
      </c>
      <c r="M108" s="29">
        <v>0</v>
      </c>
      <c r="N108" s="29" t="s">
        <v>400</v>
      </c>
      <c r="O108" s="89">
        <f>30*20</f>
        <v>600</v>
      </c>
      <c r="P108" s="29">
        <v>3</v>
      </c>
      <c r="Q108" s="29" t="s">
        <v>128</v>
      </c>
      <c r="R108" s="1" t="s">
        <v>266</v>
      </c>
      <c r="S108" s="1" t="s">
        <v>340</v>
      </c>
      <c r="T108" s="31">
        <v>1</v>
      </c>
      <c r="U108" s="31">
        <f>6/10*100</f>
        <v>60</v>
      </c>
      <c r="V108" s="93">
        <f>AVERAGE(20,10,30,20,40,20,20,10,15,10,10,5)</f>
        <v>17.5</v>
      </c>
      <c r="W108" s="57">
        <v>0</v>
      </c>
      <c r="X108" s="57" t="s">
        <v>64</v>
      </c>
      <c r="Y108" s="104" t="s">
        <v>64</v>
      </c>
      <c r="Z108" s="6">
        <v>0</v>
      </c>
      <c r="AA108" s="12" t="s">
        <v>64</v>
      </c>
      <c r="AB108" s="33" t="s">
        <v>58</v>
      </c>
      <c r="AC108" s="34" t="s">
        <v>64</v>
      </c>
      <c r="AD108" s="34" t="s">
        <v>64</v>
      </c>
      <c r="AE108" s="29" t="s">
        <v>401</v>
      </c>
      <c r="AF108" s="29" t="s">
        <v>61</v>
      </c>
      <c r="AG108" s="29">
        <v>0</v>
      </c>
      <c r="AH108" s="29" t="s">
        <v>402</v>
      </c>
      <c r="AI108" s="29" t="s">
        <v>403</v>
      </c>
      <c r="AJ108" s="34" t="s">
        <v>64</v>
      </c>
      <c r="AK108" s="34" t="s">
        <v>64</v>
      </c>
      <c r="AL108" s="34" t="s">
        <v>64</v>
      </c>
      <c r="AM108" s="34" t="s">
        <v>64</v>
      </c>
      <c r="AN108" s="34" t="s">
        <v>64</v>
      </c>
      <c r="AO108" s="29"/>
      <c r="AP108" s="120">
        <v>1</v>
      </c>
      <c r="AQ108" s="121">
        <v>2</v>
      </c>
      <c r="AR108" s="120">
        <v>1</v>
      </c>
      <c r="AS108" s="121">
        <v>3</v>
      </c>
      <c r="AT108">
        <v>1</v>
      </c>
      <c r="AU108">
        <v>50</v>
      </c>
    </row>
    <row r="109" spans="1:47" ht="29.1">
      <c r="A109" s="28" t="s">
        <v>47</v>
      </c>
      <c r="B109" s="39" t="s">
        <v>48</v>
      </c>
      <c r="C109" s="29" t="s">
        <v>260</v>
      </c>
      <c r="D109" s="29" t="s">
        <v>261</v>
      </c>
      <c r="E109" s="29" t="s">
        <v>404</v>
      </c>
      <c r="F109" s="29" t="s">
        <v>405</v>
      </c>
      <c r="G109" s="29" t="s">
        <v>406</v>
      </c>
      <c r="H109" s="29">
        <v>44</v>
      </c>
      <c r="I109" s="30">
        <v>42195</v>
      </c>
      <c r="J109" s="29">
        <v>-1.5697308000000001</v>
      </c>
      <c r="K109" s="29">
        <v>29.541984159999998</v>
      </c>
      <c r="L109" s="29">
        <v>2201</v>
      </c>
      <c r="M109" s="29">
        <v>725295980</v>
      </c>
      <c r="N109" s="29" t="s">
        <v>407</v>
      </c>
      <c r="O109" s="89">
        <f>15*25</f>
        <v>375</v>
      </c>
      <c r="P109" s="29">
        <v>2.5</v>
      </c>
      <c r="Q109" s="29" t="s">
        <v>150</v>
      </c>
      <c r="R109" s="1" t="s">
        <v>266</v>
      </c>
      <c r="S109" s="29" t="s">
        <v>267</v>
      </c>
      <c r="T109" s="31">
        <v>1</v>
      </c>
      <c r="U109" s="31">
        <f>8/20*100</f>
        <v>40</v>
      </c>
      <c r="V109" s="93">
        <f>AVERAGE(1,10,5,10,1,5,10,5,15,5,10,1)</f>
        <v>6.5</v>
      </c>
      <c r="W109" s="57">
        <v>0</v>
      </c>
      <c r="X109" s="57" t="s">
        <v>64</v>
      </c>
      <c r="Y109" s="104" t="s">
        <v>64</v>
      </c>
      <c r="Z109" s="6">
        <v>0</v>
      </c>
      <c r="AA109" s="12" t="s">
        <v>64</v>
      </c>
      <c r="AB109" s="33" t="s">
        <v>58</v>
      </c>
      <c r="AC109" s="34" t="s">
        <v>64</v>
      </c>
      <c r="AD109" s="34" t="s">
        <v>64</v>
      </c>
      <c r="AE109" s="29" t="s">
        <v>312</v>
      </c>
      <c r="AF109" s="29" t="s">
        <v>61</v>
      </c>
      <c r="AG109" s="29">
        <v>1</v>
      </c>
      <c r="AH109" s="29" t="s">
        <v>61</v>
      </c>
      <c r="AI109" s="29" t="s">
        <v>408</v>
      </c>
      <c r="AJ109" s="31">
        <v>4.01</v>
      </c>
      <c r="AK109" s="31">
        <v>0</v>
      </c>
      <c r="AL109" s="31">
        <v>0</v>
      </c>
      <c r="AM109" s="31">
        <v>0</v>
      </c>
      <c r="AN109" s="31">
        <v>0</v>
      </c>
      <c r="AO109" s="29"/>
      <c r="AP109" s="120">
        <v>1</v>
      </c>
      <c r="AQ109" s="120">
        <v>2</v>
      </c>
      <c r="AR109" s="120">
        <v>1</v>
      </c>
      <c r="AS109" s="121">
        <v>2</v>
      </c>
      <c r="AT109">
        <v>1</v>
      </c>
      <c r="AU109">
        <v>5</v>
      </c>
    </row>
    <row r="110" spans="1:47" ht="29.1">
      <c r="A110" s="28" t="s">
        <v>47</v>
      </c>
      <c r="B110" s="39" t="s">
        <v>48</v>
      </c>
      <c r="C110" s="29" t="s">
        <v>260</v>
      </c>
      <c r="D110" s="29" t="s">
        <v>307</v>
      </c>
      <c r="E110" s="29" t="s">
        <v>341</v>
      </c>
      <c r="F110" s="29" t="s">
        <v>342</v>
      </c>
      <c r="G110" s="29" t="s">
        <v>342</v>
      </c>
      <c r="H110" s="29">
        <v>41</v>
      </c>
      <c r="I110" s="30">
        <v>42194</v>
      </c>
      <c r="J110" s="29">
        <v>-1.4953746000000001</v>
      </c>
      <c r="K110" s="29">
        <v>29.854310999999999</v>
      </c>
      <c r="L110" s="29">
        <v>2217</v>
      </c>
      <c r="M110" s="29">
        <v>0</v>
      </c>
      <c r="N110" s="29" t="s">
        <v>409</v>
      </c>
      <c r="O110" s="89">
        <f>65*21</f>
        <v>1365</v>
      </c>
      <c r="P110" s="29">
        <v>2.5</v>
      </c>
      <c r="Q110" s="29" t="s">
        <v>189</v>
      </c>
      <c r="R110" s="1" t="s">
        <v>266</v>
      </c>
      <c r="S110" s="29" t="s">
        <v>345</v>
      </c>
      <c r="T110" s="31">
        <v>1</v>
      </c>
      <c r="U110" s="31">
        <f>12/20*100</f>
        <v>60</v>
      </c>
      <c r="V110" s="93">
        <f>AVERAGE(1,1,1,5,1,1,3,1,4,2,1,1,2,1,3,1,1,1,1,2,2,1)</f>
        <v>1.6818181818181819</v>
      </c>
      <c r="W110" s="57">
        <v>0</v>
      </c>
      <c r="X110" s="57" t="s">
        <v>64</v>
      </c>
      <c r="Y110" s="104" t="s">
        <v>64</v>
      </c>
      <c r="Z110" s="6">
        <v>0</v>
      </c>
      <c r="AA110" s="12" t="s">
        <v>64</v>
      </c>
      <c r="AB110" s="33" t="s">
        <v>58</v>
      </c>
      <c r="AC110" s="34" t="s">
        <v>64</v>
      </c>
      <c r="AD110" s="34" t="s">
        <v>64</v>
      </c>
      <c r="AE110" s="29" t="s">
        <v>312</v>
      </c>
      <c r="AF110" s="29" t="s">
        <v>61</v>
      </c>
      <c r="AG110" s="29">
        <v>4</v>
      </c>
      <c r="AH110" s="29" t="s">
        <v>61</v>
      </c>
      <c r="AI110" s="29" t="s">
        <v>168</v>
      </c>
      <c r="AJ110" s="31">
        <v>2.1800000000000002</v>
      </c>
      <c r="AK110" s="31">
        <v>0</v>
      </c>
      <c r="AL110" s="31">
        <v>0</v>
      </c>
      <c r="AM110" s="31">
        <v>0</v>
      </c>
      <c r="AN110" s="31">
        <v>0</v>
      </c>
      <c r="AO110" s="29"/>
      <c r="AP110" s="120">
        <v>1</v>
      </c>
      <c r="AQ110" s="120">
        <v>2</v>
      </c>
      <c r="AR110" s="120">
        <v>1</v>
      </c>
      <c r="AS110" s="121">
        <v>3</v>
      </c>
      <c r="AT110">
        <v>1</v>
      </c>
      <c r="AU110">
        <v>50</v>
      </c>
    </row>
    <row r="111" spans="1:47" ht="29.1">
      <c r="A111" s="28" t="s">
        <v>47</v>
      </c>
      <c r="B111" s="39" t="s">
        <v>48</v>
      </c>
      <c r="C111" s="29" t="s">
        <v>260</v>
      </c>
      <c r="D111" s="29" t="s">
        <v>307</v>
      </c>
      <c r="E111" s="29" t="s">
        <v>371</v>
      </c>
      <c r="F111" s="29" t="s">
        <v>410</v>
      </c>
      <c r="G111" s="29" t="s">
        <v>411</v>
      </c>
      <c r="H111" s="29">
        <v>39</v>
      </c>
      <c r="I111" s="30">
        <v>42194</v>
      </c>
      <c r="J111" s="29">
        <v>-1.5410554000000001</v>
      </c>
      <c r="K111" s="29">
        <v>29.887104000000001</v>
      </c>
      <c r="L111" s="29">
        <v>2219</v>
      </c>
      <c r="M111" s="29">
        <v>0</v>
      </c>
      <c r="N111" s="29" t="s">
        <v>412</v>
      </c>
      <c r="O111" s="89">
        <f>40*10</f>
        <v>400</v>
      </c>
      <c r="P111" s="29">
        <v>3</v>
      </c>
      <c r="Q111" s="29" t="s">
        <v>189</v>
      </c>
      <c r="R111" s="1" t="s">
        <v>266</v>
      </c>
      <c r="S111" s="29" t="s">
        <v>281</v>
      </c>
      <c r="T111" s="31">
        <v>1</v>
      </c>
      <c r="U111" s="31">
        <f>3/20*100</f>
        <v>15</v>
      </c>
      <c r="V111" s="93">
        <f>AVERAGE(1,1,1,1,0,0,0,0,0,0,0,0,0,0,0,0,0,0,0,0,0,0,0,0,0,0,0,0,0)</f>
        <v>0.13793103448275862</v>
      </c>
      <c r="W111" s="54">
        <v>0</v>
      </c>
      <c r="X111" s="54" t="s">
        <v>64</v>
      </c>
      <c r="Y111" s="103" t="s">
        <v>64</v>
      </c>
      <c r="Z111" s="35">
        <v>0</v>
      </c>
      <c r="AA111" s="37" t="s">
        <v>64</v>
      </c>
      <c r="AB111" s="33" t="s">
        <v>58</v>
      </c>
      <c r="AC111" s="34" t="s">
        <v>64</v>
      </c>
      <c r="AD111" s="34" t="s">
        <v>64</v>
      </c>
      <c r="AE111" s="29" t="s">
        <v>312</v>
      </c>
      <c r="AF111" s="29" t="s">
        <v>61</v>
      </c>
      <c r="AG111" s="29">
        <v>1</v>
      </c>
      <c r="AH111" s="29" t="s">
        <v>61</v>
      </c>
      <c r="AI111" s="29" t="s">
        <v>168</v>
      </c>
      <c r="AJ111" s="31">
        <v>2.75</v>
      </c>
      <c r="AK111" s="31">
        <v>0</v>
      </c>
      <c r="AL111" s="31">
        <v>0</v>
      </c>
      <c r="AM111" s="31">
        <v>0</v>
      </c>
      <c r="AN111" s="31">
        <v>0</v>
      </c>
      <c r="AO111" s="29"/>
      <c r="AP111" s="120">
        <v>1</v>
      </c>
      <c r="AQ111" s="120">
        <v>2</v>
      </c>
      <c r="AR111" s="120">
        <v>1</v>
      </c>
      <c r="AS111" s="121">
        <v>3</v>
      </c>
      <c r="AT111">
        <v>1</v>
      </c>
      <c r="AU111">
        <v>5</v>
      </c>
    </row>
    <row r="112" spans="1:47" ht="72.599999999999994">
      <c r="A112" s="28" t="s">
        <v>47</v>
      </c>
      <c r="B112" s="39" t="s">
        <v>48</v>
      </c>
      <c r="C112" s="29" t="s">
        <v>260</v>
      </c>
      <c r="D112" s="29" t="s">
        <v>380</v>
      </c>
      <c r="E112" s="29" t="s">
        <v>413</v>
      </c>
      <c r="F112" s="29" t="s">
        <v>414</v>
      </c>
      <c r="G112" s="29" t="s">
        <v>415</v>
      </c>
      <c r="H112" s="29">
        <v>49</v>
      </c>
      <c r="I112" s="30">
        <v>42195</v>
      </c>
      <c r="J112" s="29">
        <v>-1.6870628999999999</v>
      </c>
      <c r="K112" s="29">
        <v>29.5353718</v>
      </c>
      <c r="L112" s="29">
        <v>2225</v>
      </c>
      <c r="M112" s="29">
        <v>782388535</v>
      </c>
      <c r="N112" s="29" t="s">
        <v>416</v>
      </c>
      <c r="O112" s="89">
        <f>80*40</f>
        <v>3200</v>
      </c>
      <c r="P112" s="29">
        <v>2</v>
      </c>
      <c r="Q112" s="29" t="s">
        <v>55</v>
      </c>
      <c r="R112" s="1" t="s">
        <v>266</v>
      </c>
      <c r="S112" s="29" t="s">
        <v>417</v>
      </c>
      <c r="T112" s="31">
        <v>1</v>
      </c>
      <c r="U112" s="31">
        <f>7/20*100</f>
        <v>35</v>
      </c>
      <c r="V112" s="93">
        <f>AVERAGE(1,2,1,1,1,1,1,2,1,1,1,1,1)</f>
        <v>1.1538461538461537</v>
      </c>
      <c r="W112" s="54">
        <v>0</v>
      </c>
      <c r="X112" s="54" t="s">
        <v>64</v>
      </c>
      <c r="Y112" s="103" t="s">
        <v>64</v>
      </c>
      <c r="Z112" s="35">
        <v>0</v>
      </c>
      <c r="AA112" s="37" t="s">
        <v>64</v>
      </c>
      <c r="AB112" s="33" t="s">
        <v>58</v>
      </c>
      <c r="AC112" s="34" t="s">
        <v>64</v>
      </c>
      <c r="AD112" s="34" t="s">
        <v>64</v>
      </c>
      <c r="AE112" s="29" t="s">
        <v>312</v>
      </c>
      <c r="AF112" s="29" t="s">
        <v>61</v>
      </c>
      <c r="AG112" s="29">
        <v>4</v>
      </c>
      <c r="AH112" s="29" t="s">
        <v>61</v>
      </c>
      <c r="AI112" s="29" t="s">
        <v>161</v>
      </c>
      <c r="AJ112" s="34" t="s">
        <v>64</v>
      </c>
      <c r="AK112" s="34" t="s">
        <v>64</v>
      </c>
      <c r="AL112" s="34" t="s">
        <v>64</v>
      </c>
      <c r="AM112" s="34" t="s">
        <v>64</v>
      </c>
      <c r="AN112" s="34" t="s">
        <v>64</v>
      </c>
      <c r="AO112" s="29"/>
      <c r="AP112" s="120">
        <v>1</v>
      </c>
      <c r="AQ112" s="121">
        <v>3</v>
      </c>
      <c r="AR112" s="120">
        <v>1</v>
      </c>
      <c r="AS112" s="121">
        <v>4</v>
      </c>
      <c r="AT112">
        <v>1</v>
      </c>
      <c r="AU112">
        <v>10</v>
      </c>
    </row>
    <row r="113" spans="1:47" ht="29.1">
      <c r="A113" s="28" t="s">
        <v>47</v>
      </c>
      <c r="B113" s="39" t="s">
        <v>48</v>
      </c>
      <c r="C113" s="29" t="s">
        <v>260</v>
      </c>
      <c r="D113" s="29" t="s">
        <v>380</v>
      </c>
      <c r="E113" s="29" t="s">
        <v>418</v>
      </c>
      <c r="F113" s="29" t="s">
        <v>419</v>
      </c>
      <c r="G113" s="29" t="s">
        <v>420</v>
      </c>
      <c r="H113" s="29">
        <v>45</v>
      </c>
      <c r="I113" s="30">
        <v>42195</v>
      </c>
      <c r="J113" s="29">
        <v>-1.5818615</v>
      </c>
      <c r="K113" s="29">
        <v>29.5267467</v>
      </c>
      <c r="L113" s="29">
        <v>2239</v>
      </c>
      <c r="M113" s="29">
        <v>781176132</v>
      </c>
      <c r="N113" s="29" t="s">
        <v>421</v>
      </c>
      <c r="O113" s="89">
        <f>45*20</f>
        <v>900</v>
      </c>
      <c r="P113" s="29">
        <v>2.5</v>
      </c>
      <c r="Q113" s="29" t="s">
        <v>189</v>
      </c>
      <c r="R113" s="1" t="s">
        <v>266</v>
      </c>
      <c r="S113" s="29" t="s">
        <v>267</v>
      </c>
      <c r="T113" s="31">
        <v>1</v>
      </c>
      <c r="U113" s="31">
        <v>100</v>
      </c>
      <c r="V113" s="93">
        <f>AVERAGE(50,10,40,20,50,30,1,60,50,70,50,50,50,30,20,10,5,80,50)</f>
        <v>38.210526315789473</v>
      </c>
      <c r="W113" s="57">
        <v>0</v>
      </c>
      <c r="X113" s="57" t="s">
        <v>64</v>
      </c>
      <c r="Y113" s="104" t="s">
        <v>64</v>
      </c>
      <c r="Z113" s="6">
        <v>0</v>
      </c>
      <c r="AA113" s="12" t="s">
        <v>64</v>
      </c>
      <c r="AB113" s="33" t="s">
        <v>58</v>
      </c>
      <c r="AC113" s="34" t="s">
        <v>64</v>
      </c>
      <c r="AD113" s="34" t="s">
        <v>64</v>
      </c>
      <c r="AE113" s="29" t="s">
        <v>312</v>
      </c>
      <c r="AF113" s="29" t="s">
        <v>61</v>
      </c>
      <c r="AG113" s="29">
        <v>1</v>
      </c>
      <c r="AH113" s="29" t="s">
        <v>422</v>
      </c>
      <c r="AI113" s="29" t="s">
        <v>423</v>
      </c>
      <c r="AJ113" s="31">
        <v>2.71</v>
      </c>
      <c r="AK113" s="31">
        <v>0</v>
      </c>
      <c r="AL113" s="31">
        <v>0</v>
      </c>
      <c r="AM113" s="31">
        <v>0</v>
      </c>
      <c r="AN113" s="31">
        <v>0</v>
      </c>
      <c r="AO113" s="29"/>
      <c r="AP113" s="120">
        <v>1</v>
      </c>
      <c r="AQ113" s="120">
        <v>2</v>
      </c>
      <c r="AR113" s="120">
        <v>1</v>
      </c>
      <c r="AS113" s="121">
        <v>3</v>
      </c>
      <c r="AT113">
        <v>1</v>
      </c>
      <c r="AU113">
        <v>20</v>
      </c>
    </row>
    <row r="114" spans="1:47" ht="29.1">
      <c r="A114" s="28" t="s">
        <v>47</v>
      </c>
      <c r="B114" s="39" t="s">
        <v>48</v>
      </c>
      <c r="C114" s="29" t="s">
        <v>260</v>
      </c>
      <c r="D114" s="29" t="s">
        <v>380</v>
      </c>
      <c r="E114" s="29" t="s">
        <v>424</v>
      </c>
      <c r="F114" s="29" t="s">
        <v>232</v>
      </c>
      <c r="G114" s="29" t="s">
        <v>425</v>
      </c>
      <c r="H114" s="29">
        <v>54</v>
      </c>
      <c r="I114" s="30">
        <v>42199</v>
      </c>
      <c r="J114" s="29">
        <v>-1.5908962</v>
      </c>
      <c r="K114" s="29">
        <v>29.544378300000002</v>
      </c>
      <c r="L114" s="29">
        <v>2240</v>
      </c>
      <c r="M114" s="29">
        <v>784550423</v>
      </c>
      <c r="N114" s="29" t="s">
        <v>426</v>
      </c>
      <c r="O114" s="89">
        <f>25*22</f>
        <v>550</v>
      </c>
      <c r="P114" s="29">
        <v>2.5</v>
      </c>
      <c r="Q114" s="29" t="s">
        <v>189</v>
      </c>
      <c r="R114" s="1" t="s">
        <v>266</v>
      </c>
      <c r="S114" s="29" t="s">
        <v>267</v>
      </c>
      <c r="T114" s="31">
        <v>1</v>
      </c>
      <c r="U114" s="31">
        <f>19/20*100</f>
        <v>95</v>
      </c>
      <c r="V114" s="93">
        <f>AVERAGE(5,5,10,5,3,5,1,7,2,9,1,1,6,2,5,1,1,9,2,10,2,13,1,1,4,1,5,1,5,1,1,5,5,1)</f>
        <v>4</v>
      </c>
      <c r="W114" s="54">
        <v>0</v>
      </c>
      <c r="X114" s="54" t="s">
        <v>64</v>
      </c>
      <c r="Y114" s="103" t="s">
        <v>64</v>
      </c>
      <c r="Z114" s="35">
        <v>0</v>
      </c>
      <c r="AA114" s="37" t="s">
        <v>64</v>
      </c>
      <c r="AB114" s="33" t="s">
        <v>58</v>
      </c>
      <c r="AC114" s="34" t="s">
        <v>64</v>
      </c>
      <c r="AD114" s="34" t="s">
        <v>64</v>
      </c>
      <c r="AE114" s="29" t="s">
        <v>312</v>
      </c>
      <c r="AF114" s="29" t="s">
        <v>160</v>
      </c>
      <c r="AG114" s="29">
        <v>1</v>
      </c>
      <c r="AH114" s="29" t="s">
        <v>272</v>
      </c>
      <c r="AI114" s="29" t="s">
        <v>427</v>
      </c>
      <c r="AJ114" s="31">
        <v>3.15</v>
      </c>
      <c r="AK114" s="31">
        <v>0</v>
      </c>
      <c r="AL114" s="31">
        <v>0</v>
      </c>
      <c r="AM114" s="31">
        <v>0</v>
      </c>
      <c r="AN114" s="31">
        <v>0</v>
      </c>
      <c r="AO114" s="29"/>
      <c r="AP114" s="120">
        <v>1</v>
      </c>
      <c r="AQ114" s="121">
        <v>2</v>
      </c>
      <c r="AR114" s="120">
        <v>1</v>
      </c>
      <c r="AS114" s="121">
        <v>3</v>
      </c>
      <c r="AT114">
        <v>1</v>
      </c>
      <c r="AU114">
        <v>5</v>
      </c>
    </row>
    <row r="115" spans="1:47" ht="29.1">
      <c r="A115" s="28" t="s">
        <v>47</v>
      </c>
      <c r="B115" s="39" t="s">
        <v>48</v>
      </c>
      <c r="C115" s="29" t="s">
        <v>260</v>
      </c>
      <c r="D115" s="29" t="s">
        <v>307</v>
      </c>
      <c r="E115" s="29" t="s">
        <v>428</v>
      </c>
      <c r="F115" s="29" t="s">
        <v>429</v>
      </c>
      <c r="G115" s="29" t="s">
        <v>430</v>
      </c>
      <c r="H115" s="29">
        <v>60</v>
      </c>
      <c r="I115" s="30">
        <v>42200</v>
      </c>
      <c r="J115" s="29">
        <v>-1.4252814</v>
      </c>
      <c r="K115" s="29">
        <v>29.690401099999999</v>
      </c>
      <c r="L115" s="29">
        <v>2242</v>
      </c>
      <c r="M115" s="29">
        <v>781042761</v>
      </c>
      <c r="N115" s="29" t="s">
        <v>431</v>
      </c>
      <c r="O115" s="89">
        <f>50*50</f>
        <v>2500</v>
      </c>
      <c r="P115" s="29">
        <v>4</v>
      </c>
      <c r="Q115" s="29" t="s">
        <v>189</v>
      </c>
      <c r="R115" s="1" t="s">
        <v>266</v>
      </c>
      <c r="S115" s="1" t="s">
        <v>340</v>
      </c>
      <c r="T115" s="31">
        <v>1</v>
      </c>
      <c r="U115" s="31">
        <v>100</v>
      </c>
      <c r="V115" s="93">
        <f>AVERAGE(60,40,10,70,40,5,80,50,5,65,50,5,65,50,5,80,60,15,75,50,10,70,50,5,50,40,10,100,60,20,100,50,15)</f>
        <v>44.242424242424242</v>
      </c>
      <c r="W115" s="57">
        <v>0</v>
      </c>
      <c r="X115" s="57" t="s">
        <v>64</v>
      </c>
      <c r="Y115" s="104" t="s">
        <v>64</v>
      </c>
      <c r="Z115" s="6">
        <v>0</v>
      </c>
      <c r="AA115" s="12" t="s">
        <v>64</v>
      </c>
      <c r="AB115" s="33" t="s">
        <v>58</v>
      </c>
      <c r="AC115" s="34" t="s">
        <v>64</v>
      </c>
      <c r="AD115" s="34" t="s">
        <v>64</v>
      </c>
      <c r="AE115" s="29" t="s">
        <v>432</v>
      </c>
      <c r="AF115" s="29" t="s">
        <v>61</v>
      </c>
      <c r="AG115" s="29">
        <v>2</v>
      </c>
      <c r="AH115" s="29" t="s">
        <v>379</v>
      </c>
      <c r="AI115" s="29" t="s">
        <v>196</v>
      </c>
      <c r="AJ115" s="31">
        <v>4.0999999999999996</v>
      </c>
      <c r="AK115" s="31">
        <v>0</v>
      </c>
      <c r="AL115" s="31">
        <v>0</v>
      </c>
      <c r="AM115" s="31">
        <v>0</v>
      </c>
      <c r="AN115" s="31">
        <v>0</v>
      </c>
      <c r="AO115" s="29"/>
      <c r="AP115" s="120">
        <v>1</v>
      </c>
      <c r="AQ115" s="121">
        <v>3</v>
      </c>
      <c r="AR115" s="120">
        <v>1</v>
      </c>
      <c r="AS115" s="121">
        <v>4</v>
      </c>
      <c r="AT115">
        <v>1</v>
      </c>
      <c r="AU115">
        <v>0.1</v>
      </c>
    </row>
    <row r="116" spans="1:47" ht="29.1">
      <c r="A116" s="28" t="s">
        <v>47</v>
      </c>
      <c r="B116" s="39" t="s">
        <v>48</v>
      </c>
      <c r="C116" s="29" t="s">
        <v>260</v>
      </c>
      <c r="D116" s="29" t="s">
        <v>307</v>
      </c>
      <c r="E116" s="29" t="s">
        <v>371</v>
      </c>
      <c r="F116" s="29" t="s">
        <v>433</v>
      </c>
      <c r="G116" s="29" t="s">
        <v>434</v>
      </c>
      <c r="H116" s="29">
        <v>35</v>
      </c>
      <c r="I116" s="30">
        <v>42194</v>
      </c>
      <c r="J116" s="29">
        <v>-1.5608804999999999</v>
      </c>
      <c r="K116" s="29">
        <v>29.935505899999999</v>
      </c>
      <c r="L116" s="29">
        <v>2244</v>
      </c>
      <c r="M116" s="29">
        <v>788574551</v>
      </c>
      <c r="N116" s="29" t="s">
        <v>435</v>
      </c>
      <c r="O116" s="89">
        <f>25*7</f>
        <v>175</v>
      </c>
      <c r="P116" s="29">
        <v>2.5</v>
      </c>
      <c r="Q116" s="29" t="s">
        <v>128</v>
      </c>
      <c r="R116" s="1" t="s">
        <v>266</v>
      </c>
      <c r="S116" s="29" t="s">
        <v>281</v>
      </c>
      <c r="T116" s="31">
        <v>1</v>
      </c>
      <c r="U116" s="31">
        <f>9/20*100</f>
        <v>45</v>
      </c>
      <c r="V116" s="93">
        <f>AVERAGE(20,10,20,10,10,15,15,5,10,15,5,10,15,5,5,5)</f>
        <v>10.9375</v>
      </c>
      <c r="W116" s="57">
        <v>0</v>
      </c>
      <c r="X116" s="57" t="s">
        <v>64</v>
      </c>
      <c r="Y116" s="104" t="s">
        <v>64</v>
      </c>
      <c r="Z116" s="6">
        <v>0</v>
      </c>
      <c r="AA116" s="12" t="s">
        <v>64</v>
      </c>
      <c r="AB116" s="33" t="s">
        <v>58</v>
      </c>
      <c r="AC116" s="34" t="s">
        <v>64</v>
      </c>
      <c r="AD116" s="34" t="s">
        <v>64</v>
      </c>
      <c r="AE116" s="29" t="s">
        <v>282</v>
      </c>
      <c r="AF116" s="29" t="s">
        <v>61</v>
      </c>
      <c r="AG116" s="29">
        <v>1</v>
      </c>
      <c r="AH116" s="29" t="s">
        <v>61</v>
      </c>
      <c r="AI116" s="29" t="s">
        <v>436</v>
      </c>
      <c r="AJ116" s="31">
        <v>2.66</v>
      </c>
      <c r="AK116" s="31">
        <v>0</v>
      </c>
      <c r="AL116" s="31">
        <v>0</v>
      </c>
      <c r="AM116" s="31">
        <v>0</v>
      </c>
      <c r="AN116" s="31">
        <v>0</v>
      </c>
      <c r="AO116" s="29"/>
      <c r="AP116" s="120">
        <v>1</v>
      </c>
      <c r="AQ116" s="120">
        <v>3</v>
      </c>
      <c r="AR116" s="120">
        <v>1</v>
      </c>
      <c r="AS116" s="121">
        <v>3</v>
      </c>
      <c r="AT116">
        <v>1</v>
      </c>
      <c r="AU116">
        <v>2</v>
      </c>
    </row>
    <row r="117" spans="1:47" ht="43.5">
      <c r="A117" s="28" t="s">
        <v>47</v>
      </c>
      <c r="B117" s="39" t="s">
        <v>48</v>
      </c>
      <c r="C117" s="29" t="s">
        <v>260</v>
      </c>
      <c r="D117" s="29" t="s">
        <v>307</v>
      </c>
      <c r="E117" s="29" t="s">
        <v>341</v>
      </c>
      <c r="F117" s="29" t="s">
        <v>437</v>
      </c>
      <c r="G117" s="29" t="s">
        <v>438</v>
      </c>
      <c r="H117" s="29">
        <v>40</v>
      </c>
      <c r="I117" s="30">
        <v>42194</v>
      </c>
      <c r="J117" s="29">
        <v>-1.5184119</v>
      </c>
      <c r="K117" s="29">
        <v>29.878402699999999</v>
      </c>
      <c r="L117" s="29">
        <v>2244</v>
      </c>
      <c r="M117" s="29">
        <v>0</v>
      </c>
      <c r="N117" s="29" t="s">
        <v>439</v>
      </c>
      <c r="O117" s="89">
        <f>30*25</f>
        <v>750</v>
      </c>
      <c r="P117" s="29">
        <v>3</v>
      </c>
      <c r="Q117" s="29" t="s">
        <v>189</v>
      </c>
      <c r="R117" s="1" t="s">
        <v>266</v>
      </c>
      <c r="S117" s="29" t="s">
        <v>440</v>
      </c>
      <c r="T117" s="31">
        <v>1</v>
      </c>
      <c r="U117" s="31">
        <f>2/20*100</f>
        <v>10</v>
      </c>
      <c r="V117" s="93">
        <f>AVERAGE(1,1,0,0,0,0,0,0,0,0,0,0,0,0,0,0,0,0,0,0,0,0,0,0,0,0,0,0,0)</f>
        <v>6.8965517241379309E-2</v>
      </c>
      <c r="W117" s="54">
        <v>0</v>
      </c>
      <c r="X117" s="54" t="s">
        <v>64</v>
      </c>
      <c r="Y117" s="103" t="s">
        <v>64</v>
      </c>
      <c r="Z117" s="35">
        <v>0</v>
      </c>
      <c r="AA117" s="37" t="s">
        <v>64</v>
      </c>
      <c r="AB117" s="33" t="s">
        <v>58</v>
      </c>
      <c r="AC117" s="34" t="s">
        <v>64</v>
      </c>
      <c r="AD117" s="34" t="s">
        <v>64</v>
      </c>
      <c r="AE117" s="29" t="s">
        <v>401</v>
      </c>
      <c r="AF117" s="29" t="s">
        <v>61</v>
      </c>
      <c r="AG117" s="29">
        <v>1</v>
      </c>
      <c r="AH117" s="29" t="s">
        <v>61</v>
      </c>
      <c r="AI117" s="29" t="s">
        <v>187</v>
      </c>
      <c r="AJ117" s="34" t="s">
        <v>64</v>
      </c>
      <c r="AK117" s="34" t="s">
        <v>64</v>
      </c>
      <c r="AL117" s="34" t="s">
        <v>64</v>
      </c>
      <c r="AM117" s="34" t="s">
        <v>64</v>
      </c>
      <c r="AN117" s="34" t="s">
        <v>64</v>
      </c>
      <c r="AO117" s="29"/>
      <c r="AP117" s="120">
        <v>1</v>
      </c>
      <c r="AQ117" s="120">
        <v>2</v>
      </c>
      <c r="AR117" s="120">
        <v>1</v>
      </c>
      <c r="AS117" s="121">
        <v>3</v>
      </c>
      <c r="AT117">
        <v>1</v>
      </c>
      <c r="AU117">
        <v>40</v>
      </c>
    </row>
    <row r="118" spans="1:47" ht="29.1">
      <c r="A118" s="28" t="s">
        <v>47</v>
      </c>
      <c r="B118" s="39" t="s">
        <v>48</v>
      </c>
      <c r="C118" s="29" t="s">
        <v>260</v>
      </c>
      <c r="D118" s="29" t="s">
        <v>380</v>
      </c>
      <c r="E118" s="29" t="s">
        <v>418</v>
      </c>
      <c r="F118" s="29" t="s">
        <v>419</v>
      </c>
      <c r="G118" s="29" t="s">
        <v>441</v>
      </c>
      <c r="H118" s="29">
        <v>53</v>
      </c>
      <c r="I118" s="30">
        <v>42199</v>
      </c>
      <c r="J118" s="29">
        <v>-1.5833216000000001</v>
      </c>
      <c r="K118" s="29">
        <v>29.534275099999999</v>
      </c>
      <c r="L118" s="29">
        <v>2251</v>
      </c>
      <c r="M118" s="29">
        <v>788811338</v>
      </c>
      <c r="N118" s="29" t="s">
        <v>442</v>
      </c>
      <c r="O118" s="89">
        <f>40*50</f>
        <v>2000</v>
      </c>
      <c r="P118" s="29">
        <v>3</v>
      </c>
      <c r="Q118" s="29" t="s">
        <v>128</v>
      </c>
      <c r="R118" s="1" t="s">
        <v>266</v>
      </c>
      <c r="S118" s="29" t="s">
        <v>267</v>
      </c>
      <c r="T118" s="31">
        <v>1</v>
      </c>
      <c r="U118" s="31">
        <v>100</v>
      </c>
      <c r="V118" s="93">
        <f>AVERAGE(50,20,10,5,25,10,10,5,15,5,20,10,5,5,1,15,5,10,6,2,11,3,1,9,1,1,15,4,2,7,2,8,3,1,13,7,4,9,3,1,7,2,10,4,2)</f>
        <v>8.0888888888888886</v>
      </c>
      <c r="W118" s="57">
        <v>0</v>
      </c>
      <c r="X118" s="57" t="s">
        <v>64</v>
      </c>
      <c r="Y118" s="104" t="s">
        <v>64</v>
      </c>
      <c r="Z118" s="6">
        <v>0</v>
      </c>
      <c r="AA118" s="12" t="s">
        <v>64</v>
      </c>
      <c r="AB118" s="33" t="s">
        <v>58</v>
      </c>
      <c r="AC118" s="34" t="s">
        <v>64</v>
      </c>
      <c r="AD118" s="34" t="s">
        <v>64</v>
      </c>
      <c r="AE118" s="29" t="s">
        <v>443</v>
      </c>
      <c r="AF118" s="29" t="s">
        <v>61</v>
      </c>
      <c r="AG118" s="29">
        <v>1</v>
      </c>
      <c r="AH118" s="29" t="s">
        <v>61</v>
      </c>
      <c r="AI118" s="29" t="s">
        <v>403</v>
      </c>
      <c r="AJ118" s="34" t="s">
        <v>64</v>
      </c>
      <c r="AK118" s="34" t="s">
        <v>64</v>
      </c>
      <c r="AL118" s="34" t="s">
        <v>64</v>
      </c>
      <c r="AM118" s="34" t="s">
        <v>64</v>
      </c>
      <c r="AN118" s="34" t="s">
        <v>64</v>
      </c>
      <c r="AO118" s="115"/>
      <c r="AP118" s="49">
        <v>1</v>
      </c>
      <c r="AQ118" s="50">
        <v>2</v>
      </c>
      <c r="AR118" s="49">
        <v>1</v>
      </c>
      <c r="AS118" s="50">
        <v>4</v>
      </c>
      <c r="AT118" s="49">
        <v>1</v>
      </c>
      <c r="AU118" s="49">
        <v>2</v>
      </c>
    </row>
    <row r="119" spans="1:47" ht="29.1">
      <c r="A119" s="28" t="s">
        <v>47</v>
      </c>
      <c r="B119" s="39" t="s">
        <v>48</v>
      </c>
      <c r="C119" s="29" t="s">
        <v>260</v>
      </c>
      <c r="D119" s="29" t="s">
        <v>307</v>
      </c>
      <c r="E119" s="29" t="s">
        <v>375</v>
      </c>
      <c r="F119" s="29" t="s">
        <v>444</v>
      </c>
      <c r="G119" s="29" t="s">
        <v>445</v>
      </c>
      <c r="H119" s="29">
        <v>58</v>
      </c>
      <c r="I119" s="30">
        <v>42200</v>
      </c>
      <c r="J119" s="29">
        <v>-1.4019090000000001</v>
      </c>
      <c r="K119" s="29">
        <v>29.7145157</v>
      </c>
      <c r="L119" s="29">
        <v>2283</v>
      </c>
      <c r="M119" s="29">
        <v>783611418</v>
      </c>
      <c r="N119" s="29" t="s">
        <v>446</v>
      </c>
      <c r="O119" s="89">
        <f>40*60</f>
        <v>2400</v>
      </c>
      <c r="P119" s="29">
        <v>3.5</v>
      </c>
      <c r="Q119" s="29" t="s">
        <v>189</v>
      </c>
      <c r="R119" s="1" t="s">
        <v>266</v>
      </c>
      <c r="S119" s="1" t="s">
        <v>340</v>
      </c>
      <c r="T119" s="31">
        <v>1</v>
      </c>
      <c r="U119" s="31">
        <v>100</v>
      </c>
      <c r="V119" s="93">
        <f>AVERAGE(70,50,10,80,70,25,70,50,10,100,70,20,100,70,30,90,60,10,60,50,20,90,70,50,100,50,20,80,50,15)</f>
        <v>54.666666666666664</v>
      </c>
      <c r="W119" s="54">
        <v>0</v>
      </c>
      <c r="X119" s="54" t="s">
        <v>64</v>
      </c>
      <c r="Y119" s="103" t="s">
        <v>64</v>
      </c>
      <c r="Z119" s="35">
        <v>0</v>
      </c>
      <c r="AA119" s="37" t="s">
        <v>64</v>
      </c>
      <c r="AB119" s="33" t="s">
        <v>58</v>
      </c>
      <c r="AC119" s="34" t="s">
        <v>64</v>
      </c>
      <c r="AD119" s="34" t="s">
        <v>64</v>
      </c>
      <c r="AE119" s="29" t="s">
        <v>447</v>
      </c>
      <c r="AF119" s="29" t="s">
        <v>160</v>
      </c>
      <c r="AG119" s="29">
        <v>0</v>
      </c>
      <c r="AH119" s="29" t="s">
        <v>448</v>
      </c>
      <c r="AI119" s="29" t="s">
        <v>449</v>
      </c>
      <c r="AJ119" s="34" t="s">
        <v>64</v>
      </c>
      <c r="AK119" s="34" t="s">
        <v>64</v>
      </c>
      <c r="AL119" s="34" t="s">
        <v>64</v>
      </c>
      <c r="AM119" s="34" t="s">
        <v>64</v>
      </c>
      <c r="AN119" s="34" t="s">
        <v>64</v>
      </c>
      <c r="AO119" s="115"/>
      <c r="AP119" s="49">
        <v>1</v>
      </c>
      <c r="AQ119" s="50">
        <v>2</v>
      </c>
      <c r="AR119" s="49">
        <v>1</v>
      </c>
      <c r="AS119" s="50">
        <v>4</v>
      </c>
      <c r="AT119" s="49">
        <v>0</v>
      </c>
      <c r="AU119" s="49">
        <v>0</v>
      </c>
    </row>
    <row r="120" spans="1:47" ht="29.1">
      <c r="A120" s="28" t="s">
        <v>47</v>
      </c>
      <c r="B120" s="39" t="s">
        <v>48</v>
      </c>
      <c r="C120" s="29" t="s">
        <v>260</v>
      </c>
      <c r="D120" s="29" t="s">
        <v>307</v>
      </c>
      <c r="E120" s="29" t="s">
        <v>371</v>
      </c>
      <c r="F120" s="29" t="s">
        <v>371</v>
      </c>
      <c r="G120" s="29" t="s">
        <v>450</v>
      </c>
      <c r="H120" s="29">
        <v>36</v>
      </c>
      <c r="I120" s="30">
        <v>42194</v>
      </c>
      <c r="J120" s="29">
        <v>-1.5578756</v>
      </c>
      <c r="K120" s="29">
        <v>29.9333706</v>
      </c>
      <c r="L120" s="29">
        <v>2294</v>
      </c>
      <c r="M120" s="29">
        <v>783583088</v>
      </c>
      <c r="N120" s="29" t="s">
        <v>451</v>
      </c>
      <c r="O120" s="89">
        <f>10*50</f>
        <v>500</v>
      </c>
      <c r="P120" s="29">
        <v>3</v>
      </c>
      <c r="Q120" s="29" t="s">
        <v>189</v>
      </c>
      <c r="R120" s="1" t="s">
        <v>266</v>
      </c>
      <c r="S120" s="29" t="s">
        <v>452</v>
      </c>
      <c r="T120" s="31">
        <v>1</v>
      </c>
      <c r="U120" s="31">
        <f>5/20*100</f>
        <v>25</v>
      </c>
      <c r="V120" s="93">
        <f>AVERAGE(1,5,2,1,5,1)</f>
        <v>2.5</v>
      </c>
      <c r="W120" s="57">
        <v>0</v>
      </c>
      <c r="X120" s="57" t="s">
        <v>64</v>
      </c>
      <c r="Y120" s="104" t="s">
        <v>64</v>
      </c>
      <c r="Z120" s="6">
        <v>0</v>
      </c>
      <c r="AA120" s="12" t="s">
        <v>64</v>
      </c>
      <c r="AB120" s="33" t="s">
        <v>58</v>
      </c>
      <c r="AC120" s="34" t="s">
        <v>64</v>
      </c>
      <c r="AD120" s="34" t="s">
        <v>64</v>
      </c>
      <c r="AE120" s="29" t="s">
        <v>453</v>
      </c>
      <c r="AF120" s="29" t="s">
        <v>61</v>
      </c>
      <c r="AG120" s="29">
        <v>4</v>
      </c>
      <c r="AH120" s="29" t="s">
        <v>454</v>
      </c>
      <c r="AI120" s="29" t="s">
        <v>455</v>
      </c>
      <c r="AJ120" s="34" t="s">
        <v>64</v>
      </c>
      <c r="AK120" s="34" t="s">
        <v>64</v>
      </c>
      <c r="AL120" s="34" t="s">
        <v>64</v>
      </c>
      <c r="AM120" s="34" t="s">
        <v>64</v>
      </c>
      <c r="AN120" s="34" t="s">
        <v>64</v>
      </c>
      <c r="AO120" s="115"/>
      <c r="AP120" s="49">
        <v>1</v>
      </c>
      <c r="AQ120" s="49">
        <v>2</v>
      </c>
      <c r="AR120" s="49">
        <v>1</v>
      </c>
      <c r="AS120" s="50">
        <v>5</v>
      </c>
      <c r="AT120" s="49">
        <v>1</v>
      </c>
      <c r="AU120" s="49">
        <v>40</v>
      </c>
    </row>
    <row r="121" spans="1:47" ht="29.1">
      <c r="A121" s="28" t="s">
        <v>47</v>
      </c>
      <c r="B121" s="39" t="s">
        <v>48</v>
      </c>
      <c r="C121" s="29" t="s">
        <v>260</v>
      </c>
      <c r="D121" s="29" t="s">
        <v>307</v>
      </c>
      <c r="E121" s="29" t="s">
        <v>371</v>
      </c>
      <c r="F121" s="29" t="s">
        <v>410</v>
      </c>
      <c r="G121" s="29" t="s">
        <v>424</v>
      </c>
      <c r="H121" s="29">
        <v>38</v>
      </c>
      <c r="I121" s="30">
        <v>42194</v>
      </c>
      <c r="J121" s="29">
        <v>-1.5750483</v>
      </c>
      <c r="K121" s="29">
        <v>29.893718700000001</v>
      </c>
      <c r="L121" s="29">
        <v>2295</v>
      </c>
      <c r="M121" s="29">
        <v>788553433</v>
      </c>
      <c r="N121" s="29" t="s">
        <v>456</v>
      </c>
      <c r="O121" s="89">
        <f>17*20</f>
        <v>340</v>
      </c>
      <c r="P121" s="29">
        <v>3</v>
      </c>
      <c r="Q121" s="29" t="s">
        <v>189</v>
      </c>
      <c r="R121" s="1" t="s">
        <v>266</v>
      </c>
      <c r="S121" s="29" t="s">
        <v>281</v>
      </c>
      <c r="T121" s="31">
        <v>1</v>
      </c>
      <c r="U121" s="31">
        <f>5/20*100</f>
        <v>25</v>
      </c>
      <c r="V121" s="93">
        <f>AVERAGE(1,1,1,1,5,1)</f>
        <v>1.6666666666666667</v>
      </c>
      <c r="W121" s="54">
        <v>0</v>
      </c>
      <c r="X121" s="54" t="s">
        <v>64</v>
      </c>
      <c r="Y121" s="103" t="s">
        <v>64</v>
      </c>
      <c r="Z121" s="35">
        <v>0</v>
      </c>
      <c r="AA121" s="37" t="s">
        <v>64</v>
      </c>
      <c r="AB121" s="33" t="s">
        <v>84</v>
      </c>
      <c r="AC121" s="32">
        <f>2/20*100</f>
        <v>10</v>
      </c>
      <c r="AD121" s="31">
        <v>1</v>
      </c>
      <c r="AE121" s="29" t="s">
        <v>457</v>
      </c>
      <c r="AF121" s="29" t="s">
        <v>61</v>
      </c>
      <c r="AG121" s="29">
        <v>0</v>
      </c>
      <c r="AH121" s="29" t="s">
        <v>61</v>
      </c>
      <c r="AI121" s="29" t="s">
        <v>292</v>
      </c>
      <c r="AJ121" s="34" t="s">
        <v>64</v>
      </c>
      <c r="AK121" s="34" t="s">
        <v>64</v>
      </c>
      <c r="AL121" s="34" t="s">
        <v>64</v>
      </c>
      <c r="AM121" s="34" t="s">
        <v>64</v>
      </c>
      <c r="AN121" s="34" t="s">
        <v>64</v>
      </c>
      <c r="AO121" s="115"/>
      <c r="AP121" s="49">
        <v>1</v>
      </c>
      <c r="AQ121" s="49">
        <v>4</v>
      </c>
      <c r="AR121" s="49">
        <v>1</v>
      </c>
      <c r="AS121" s="50">
        <v>5</v>
      </c>
      <c r="AT121" s="49">
        <v>1</v>
      </c>
      <c r="AU121" s="49">
        <v>50</v>
      </c>
    </row>
    <row r="122" spans="1:47" ht="29.1">
      <c r="A122" s="2" t="s">
        <v>47</v>
      </c>
      <c r="B122" s="39" t="s">
        <v>48</v>
      </c>
      <c r="C122" s="1" t="s">
        <v>260</v>
      </c>
      <c r="D122" s="1" t="s">
        <v>261</v>
      </c>
      <c r="E122" s="1" t="s">
        <v>458</v>
      </c>
      <c r="F122" s="1" t="s">
        <v>459</v>
      </c>
      <c r="G122" s="1" t="s">
        <v>318</v>
      </c>
      <c r="H122" s="1">
        <v>13</v>
      </c>
      <c r="I122" s="3">
        <v>42185</v>
      </c>
      <c r="J122" s="2">
        <v>-1.5481615</v>
      </c>
      <c r="K122" s="2">
        <v>29.533254599999999</v>
      </c>
      <c r="L122" s="2">
        <v>2307</v>
      </c>
      <c r="M122" s="1">
        <v>0</v>
      </c>
      <c r="N122" s="1" t="s">
        <v>460</v>
      </c>
      <c r="O122" s="88">
        <f>39*10</f>
        <v>390</v>
      </c>
      <c r="P122" s="1">
        <v>2.5</v>
      </c>
      <c r="Q122" s="1" t="s">
        <v>150</v>
      </c>
      <c r="R122" s="1" t="s">
        <v>266</v>
      </c>
      <c r="S122" s="1" t="s">
        <v>461</v>
      </c>
      <c r="T122" s="6">
        <v>1</v>
      </c>
      <c r="U122" s="9">
        <v>100</v>
      </c>
      <c r="V122" s="99">
        <f>AVERAGE(20,10,5,15,5,10,5,10,5,5,5,2,7,1,5,6,2,19,3,1,7,2,2,10,4,1,6,2,4,3,4,2,1,5,1,1,6,2,3,10,5)</f>
        <v>5.4146341463414638</v>
      </c>
      <c r="W122" s="54">
        <v>0</v>
      </c>
      <c r="X122" s="54" t="s">
        <v>64</v>
      </c>
      <c r="Y122" s="103" t="s">
        <v>64</v>
      </c>
      <c r="Z122" s="35">
        <v>0</v>
      </c>
      <c r="AA122" s="37" t="s">
        <v>64</v>
      </c>
      <c r="AB122" s="10" t="s">
        <v>84</v>
      </c>
      <c r="AC122" s="8">
        <f>1/20*100</f>
        <v>5</v>
      </c>
      <c r="AD122" s="8">
        <v>1</v>
      </c>
      <c r="AE122" s="1" t="s">
        <v>282</v>
      </c>
      <c r="AF122" s="1" t="s">
        <v>61</v>
      </c>
      <c r="AG122" s="1">
        <v>1</v>
      </c>
      <c r="AH122" s="1" t="s">
        <v>61</v>
      </c>
      <c r="AI122" s="1" t="s">
        <v>455</v>
      </c>
      <c r="AJ122" s="8" t="s">
        <v>64</v>
      </c>
      <c r="AK122" s="8" t="s">
        <v>64</v>
      </c>
      <c r="AL122" s="8" t="s">
        <v>64</v>
      </c>
      <c r="AM122" s="8" t="s">
        <v>64</v>
      </c>
      <c r="AN122" s="8" t="s">
        <v>64</v>
      </c>
      <c r="AO122" s="117"/>
      <c r="AP122" s="49">
        <v>1</v>
      </c>
      <c r="AQ122" s="49">
        <v>2</v>
      </c>
      <c r="AR122" s="49">
        <v>1</v>
      </c>
      <c r="AS122" s="50">
        <v>2</v>
      </c>
      <c r="AT122" s="49">
        <v>1</v>
      </c>
      <c r="AU122" s="49">
        <v>40</v>
      </c>
    </row>
    <row r="123" spans="1:47" ht="29.1">
      <c r="A123" s="2" t="s">
        <v>47</v>
      </c>
      <c r="B123" s="39" t="s">
        <v>48</v>
      </c>
      <c r="C123" s="1" t="s">
        <v>260</v>
      </c>
      <c r="D123" s="1" t="s">
        <v>387</v>
      </c>
      <c r="E123" s="1" t="s">
        <v>462</v>
      </c>
      <c r="F123" s="1" t="s">
        <v>463</v>
      </c>
      <c r="G123" s="1" t="s">
        <v>464</v>
      </c>
      <c r="H123" s="1">
        <v>51</v>
      </c>
      <c r="I123" s="3">
        <v>42199</v>
      </c>
      <c r="J123" s="1">
        <v>-1.7785447999999999</v>
      </c>
      <c r="K123" s="1">
        <v>29.505991000000002</v>
      </c>
      <c r="L123" s="1">
        <v>2309</v>
      </c>
      <c r="M123" s="1">
        <v>781155126</v>
      </c>
      <c r="N123" s="1" t="s">
        <v>465</v>
      </c>
      <c r="O123" s="88">
        <f>5*18</f>
        <v>90</v>
      </c>
      <c r="P123" s="1">
        <v>2.5</v>
      </c>
      <c r="Q123" s="1" t="s">
        <v>150</v>
      </c>
      <c r="R123" s="1" t="s">
        <v>266</v>
      </c>
      <c r="S123" s="1" t="s">
        <v>267</v>
      </c>
      <c r="T123" s="9">
        <v>1</v>
      </c>
      <c r="U123" s="9">
        <f>13/20*100</f>
        <v>65</v>
      </c>
      <c r="V123" s="94">
        <f>AVERAGE(10,5,5,1,5,1,5,1,1,3,1,1,2,6,1,7,2,3,1,6,3,9,2)</f>
        <v>3.5217391304347827</v>
      </c>
      <c r="W123" s="57">
        <v>1</v>
      </c>
      <c r="X123" s="57">
        <f>2/10*100</f>
        <v>20</v>
      </c>
      <c r="Y123" s="104">
        <f>AVERAGE(24,0,0,0,0,0,0,0,0,0)</f>
        <v>2.4</v>
      </c>
      <c r="Z123" s="6">
        <v>0</v>
      </c>
      <c r="AA123" s="12" t="s">
        <v>64</v>
      </c>
      <c r="AB123" s="33" t="s">
        <v>58</v>
      </c>
      <c r="AC123" s="34" t="s">
        <v>64</v>
      </c>
      <c r="AD123" s="34" t="s">
        <v>64</v>
      </c>
      <c r="AE123" s="1" t="s">
        <v>401</v>
      </c>
      <c r="AF123" s="1" t="s">
        <v>61</v>
      </c>
      <c r="AG123" s="1">
        <v>0</v>
      </c>
      <c r="AH123" s="1" t="s">
        <v>61</v>
      </c>
      <c r="AI123" s="1" t="s">
        <v>403</v>
      </c>
      <c r="AJ123" s="8" t="s">
        <v>64</v>
      </c>
      <c r="AK123" s="8" t="s">
        <v>64</v>
      </c>
      <c r="AL123" s="8" t="s">
        <v>64</v>
      </c>
      <c r="AM123" s="8" t="s">
        <v>64</v>
      </c>
      <c r="AN123" s="8" t="s">
        <v>64</v>
      </c>
      <c r="AO123" s="117"/>
      <c r="AP123" s="49">
        <v>1</v>
      </c>
      <c r="AQ123" s="50">
        <v>2</v>
      </c>
      <c r="AR123" s="49">
        <v>1</v>
      </c>
      <c r="AS123" s="50">
        <v>2</v>
      </c>
      <c r="AT123" s="49">
        <v>1</v>
      </c>
      <c r="AU123" s="49">
        <v>5</v>
      </c>
    </row>
    <row r="124" spans="1:47" ht="29.1">
      <c r="A124" s="2" t="s">
        <v>47</v>
      </c>
      <c r="B124" s="39" t="s">
        <v>48</v>
      </c>
      <c r="C124" s="1" t="s">
        <v>260</v>
      </c>
      <c r="D124" s="1" t="s">
        <v>307</v>
      </c>
      <c r="E124" s="1" t="s">
        <v>466</v>
      </c>
      <c r="F124" s="1" t="s">
        <v>467</v>
      </c>
      <c r="G124" s="1" t="s">
        <v>468</v>
      </c>
      <c r="H124" s="1">
        <v>59</v>
      </c>
      <c r="I124" s="3">
        <v>42170</v>
      </c>
      <c r="J124" s="1">
        <v>-1.4154764</v>
      </c>
      <c r="K124" s="1">
        <v>29.701217700000001</v>
      </c>
      <c r="L124" s="1">
        <v>2315</v>
      </c>
      <c r="M124" s="1">
        <v>783784285</v>
      </c>
      <c r="N124" s="1" t="s">
        <v>469</v>
      </c>
      <c r="O124" s="88">
        <f>7*7</f>
        <v>49</v>
      </c>
      <c r="P124" s="1">
        <v>2.5</v>
      </c>
      <c r="Q124" s="1" t="s">
        <v>189</v>
      </c>
      <c r="R124" s="1" t="s">
        <v>266</v>
      </c>
      <c r="S124" s="1" t="s">
        <v>340</v>
      </c>
      <c r="T124" s="9">
        <v>1</v>
      </c>
      <c r="U124" s="9">
        <v>100</v>
      </c>
      <c r="V124" s="94">
        <f>AVERAGE(60,50,10,70,60,15,80,70,10,60,50,10,70,60,15,90,50,20,50,40,5,90,50,10,100,70,10,100,60,15)</f>
        <v>48.333333333333336</v>
      </c>
      <c r="W124" s="57">
        <v>0</v>
      </c>
      <c r="X124" s="57" t="s">
        <v>64</v>
      </c>
      <c r="Y124" s="104" t="s">
        <v>64</v>
      </c>
      <c r="Z124" s="6">
        <v>0</v>
      </c>
      <c r="AA124" s="12" t="s">
        <v>64</v>
      </c>
      <c r="AB124" s="33" t="s">
        <v>58</v>
      </c>
      <c r="AC124" s="34" t="s">
        <v>64</v>
      </c>
      <c r="AD124" s="34" t="s">
        <v>64</v>
      </c>
      <c r="AE124" s="1" t="s">
        <v>312</v>
      </c>
      <c r="AF124" s="1" t="s">
        <v>61</v>
      </c>
      <c r="AG124" s="1">
        <v>0</v>
      </c>
      <c r="AH124" s="1" t="s">
        <v>470</v>
      </c>
      <c r="AI124" s="1" t="s">
        <v>449</v>
      </c>
      <c r="AJ124" s="9">
        <v>3.61</v>
      </c>
      <c r="AK124" s="9">
        <v>0</v>
      </c>
      <c r="AL124" s="9">
        <v>0</v>
      </c>
      <c r="AM124" s="9">
        <v>0</v>
      </c>
      <c r="AN124" s="9">
        <v>0</v>
      </c>
      <c r="AO124" s="117"/>
      <c r="AP124" s="49">
        <v>1</v>
      </c>
      <c r="AQ124" s="50">
        <v>5</v>
      </c>
      <c r="AR124" s="49">
        <v>1</v>
      </c>
      <c r="AS124" s="50">
        <v>2</v>
      </c>
      <c r="AT124" s="49">
        <v>0</v>
      </c>
      <c r="AU124" s="49">
        <v>0</v>
      </c>
    </row>
    <row r="125" spans="1:47" ht="29.1">
      <c r="A125" s="2" t="s">
        <v>47</v>
      </c>
      <c r="B125" s="39" t="s">
        <v>48</v>
      </c>
      <c r="C125" s="1" t="s">
        <v>260</v>
      </c>
      <c r="D125" s="1" t="s">
        <v>380</v>
      </c>
      <c r="E125" s="1" t="s">
        <v>424</v>
      </c>
      <c r="F125" s="1" t="s">
        <v>318</v>
      </c>
      <c r="G125" s="1" t="s">
        <v>471</v>
      </c>
      <c r="H125" s="1">
        <v>55</v>
      </c>
      <c r="I125" s="3">
        <v>42199</v>
      </c>
      <c r="J125" s="1">
        <v>-1.6001837999999999</v>
      </c>
      <c r="K125" s="1">
        <v>29.551458400000001</v>
      </c>
      <c r="L125" s="1">
        <v>2330</v>
      </c>
      <c r="M125" s="1">
        <v>0</v>
      </c>
      <c r="N125" s="1" t="s">
        <v>472</v>
      </c>
      <c r="O125" s="88">
        <f>35*15</f>
        <v>525</v>
      </c>
      <c r="P125" s="1">
        <v>2.5</v>
      </c>
      <c r="Q125" s="1" t="s">
        <v>150</v>
      </c>
      <c r="R125" s="1" t="s">
        <v>266</v>
      </c>
      <c r="S125" s="1" t="s">
        <v>267</v>
      </c>
      <c r="T125" s="31">
        <v>0</v>
      </c>
      <c r="U125" s="31" t="s">
        <v>64</v>
      </c>
      <c r="V125" s="93" t="s">
        <v>64</v>
      </c>
      <c r="W125" s="57">
        <v>1</v>
      </c>
      <c r="X125" s="57">
        <f>1/20*100</f>
        <v>5</v>
      </c>
      <c r="Y125" s="101">
        <f>AVERAGE(3,0,0,0,0,0,0,0,0,0,0,0,0,0,0,0,0,0,0,0)</f>
        <v>0.15</v>
      </c>
      <c r="Z125" s="35">
        <v>0</v>
      </c>
      <c r="AA125" s="37" t="s">
        <v>64</v>
      </c>
      <c r="AB125" s="33" t="s">
        <v>58</v>
      </c>
      <c r="AC125" s="34" t="s">
        <v>64</v>
      </c>
      <c r="AD125" s="34" t="s">
        <v>64</v>
      </c>
      <c r="AE125" s="1" t="s">
        <v>201</v>
      </c>
      <c r="AF125" s="1" t="s">
        <v>61</v>
      </c>
      <c r="AG125" s="1">
        <v>4</v>
      </c>
      <c r="AH125" s="1" t="s">
        <v>61</v>
      </c>
      <c r="AI125" s="1" t="s">
        <v>408</v>
      </c>
      <c r="AJ125" s="9">
        <v>2.66</v>
      </c>
      <c r="AK125" s="9">
        <v>0</v>
      </c>
      <c r="AL125" s="9">
        <v>0</v>
      </c>
      <c r="AM125" s="9">
        <v>0</v>
      </c>
      <c r="AN125" s="9">
        <v>0</v>
      </c>
      <c r="AO125" s="117"/>
      <c r="AP125" s="49">
        <v>1</v>
      </c>
      <c r="AQ125" s="50">
        <v>2</v>
      </c>
      <c r="AR125" s="49">
        <v>1</v>
      </c>
      <c r="AS125" s="50">
        <v>3</v>
      </c>
      <c r="AT125" s="49">
        <v>1</v>
      </c>
      <c r="AU125" s="49">
        <v>25</v>
      </c>
    </row>
    <row r="126" spans="1:47" ht="29.1">
      <c r="A126" s="2" t="s">
        <v>47</v>
      </c>
      <c r="B126" s="39" t="s">
        <v>48</v>
      </c>
      <c r="C126" s="1" t="s">
        <v>260</v>
      </c>
      <c r="D126" s="1" t="s">
        <v>307</v>
      </c>
      <c r="E126" s="1" t="s">
        <v>361</v>
      </c>
      <c r="F126" s="1" t="s">
        <v>473</v>
      </c>
      <c r="G126" s="1" t="s">
        <v>474</v>
      </c>
      <c r="H126" s="1">
        <v>32</v>
      </c>
      <c r="I126" s="3">
        <v>42193</v>
      </c>
      <c r="J126" s="1">
        <v>-1.3780699999999999</v>
      </c>
      <c r="K126" s="1">
        <v>29.871169999999999</v>
      </c>
      <c r="L126" s="1">
        <v>2331</v>
      </c>
      <c r="M126" s="1">
        <v>0</v>
      </c>
      <c r="N126" s="1" t="s">
        <v>475</v>
      </c>
      <c r="O126" s="88">
        <f>8*9</f>
        <v>72</v>
      </c>
      <c r="P126" s="1">
        <v>2</v>
      </c>
      <c r="Q126" s="1" t="s">
        <v>55</v>
      </c>
      <c r="R126" s="1" t="s">
        <v>266</v>
      </c>
      <c r="S126" s="1" t="s">
        <v>345</v>
      </c>
      <c r="T126" s="9">
        <v>1</v>
      </c>
      <c r="U126" s="9">
        <f>2/20*100</f>
        <v>10</v>
      </c>
      <c r="V126" s="94">
        <f>AVERAGE(1,1,1,0,0,0,0,0,0,0,0,0,0,0,0,0,0,0,0,0,0,0,0,0,0,0,0,0,0)</f>
        <v>0.10344827586206896</v>
      </c>
      <c r="W126" s="57">
        <v>0</v>
      </c>
      <c r="X126" s="57" t="s">
        <v>64</v>
      </c>
      <c r="Y126" s="104" t="s">
        <v>64</v>
      </c>
      <c r="Z126" s="6">
        <v>0</v>
      </c>
      <c r="AA126" s="12" t="s">
        <v>64</v>
      </c>
      <c r="AB126" s="10" t="s">
        <v>84</v>
      </c>
      <c r="AC126" s="11">
        <f>2/20*100</f>
        <v>10</v>
      </c>
      <c r="AD126" s="9">
        <v>1</v>
      </c>
      <c r="AE126" s="1" t="s">
        <v>315</v>
      </c>
      <c r="AF126" s="1" t="s">
        <v>61</v>
      </c>
      <c r="AG126" s="1">
        <v>0</v>
      </c>
      <c r="AH126" s="1" t="s">
        <v>61</v>
      </c>
      <c r="AI126" s="1" t="s">
        <v>61</v>
      </c>
      <c r="AJ126" s="9">
        <v>1.58</v>
      </c>
      <c r="AK126" s="9">
        <v>1</v>
      </c>
      <c r="AL126" s="9">
        <v>0.01</v>
      </c>
      <c r="AM126" s="9">
        <v>1</v>
      </c>
      <c r="AN126" s="9">
        <v>1</v>
      </c>
      <c r="AO126" s="117"/>
      <c r="AP126" s="49">
        <v>1</v>
      </c>
      <c r="AQ126" s="49">
        <v>3</v>
      </c>
      <c r="AR126" s="49">
        <v>1</v>
      </c>
      <c r="AS126" s="50">
        <v>2</v>
      </c>
      <c r="AT126" s="49">
        <v>1</v>
      </c>
      <c r="AU126" s="49">
        <v>2</v>
      </c>
    </row>
    <row r="127" spans="1:47" ht="29.1">
      <c r="A127" s="2" t="s">
        <v>47</v>
      </c>
      <c r="B127" s="39" t="s">
        <v>48</v>
      </c>
      <c r="C127" s="1" t="s">
        <v>260</v>
      </c>
      <c r="D127" s="1" t="s">
        <v>380</v>
      </c>
      <c r="E127" s="1" t="s">
        <v>476</v>
      </c>
      <c r="F127" s="1" t="s">
        <v>477</v>
      </c>
      <c r="G127" s="1" t="s">
        <v>478</v>
      </c>
      <c r="H127" s="1">
        <v>46</v>
      </c>
      <c r="I127" s="3">
        <v>42195</v>
      </c>
      <c r="J127" s="1">
        <v>-1.6219011999999999</v>
      </c>
      <c r="K127" s="1">
        <v>29.490213399999998</v>
      </c>
      <c r="L127" s="1">
        <v>2348</v>
      </c>
      <c r="M127" s="1">
        <v>781508672</v>
      </c>
      <c r="N127" s="1" t="s">
        <v>479</v>
      </c>
      <c r="O127" s="88">
        <f>80*75</f>
        <v>6000</v>
      </c>
      <c r="P127" s="1">
        <v>2.5</v>
      </c>
      <c r="Q127" s="1" t="s">
        <v>150</v>
      </c>
      <c r="R127" s="1" t="s">
        <v>266</v>
      </c>
      <c r="S127" s="1" t="s">
        <v>480</v>
      </c>
      <c r="T127" s="9">
        <v>1</v>
      </c>
      <c r="U127" s="9">
        <f>16/20*100</f>
        <v>80</v>
      </c>
      <c r="V127" s="94">
        <f>AVERAGE(5,1,10,1,10,15,5,1,7,2,1,5,6,1,1,5,2,3,1,4,3,1,4,3,1,4,5,1)</f>
        <v>3.8571428571428572</v>
      </c>
      <c r="W127" s="54">
        <v>0</v>
      </c>
      <c r="X127" s="54" t="s">
        <v>64</v>
      </c>
      <c r="Y127" s="103" t="s">
        <v>64</v>
      </c>
      <c r="Z127" s="35">
        <v>0</v>
      </c>
      <c r="AA127" s="37" t="s">
        <v>64</v>
      </c>
      <c r="AB127" s="33" t="s">
        <v>58</v>
      </c>
      <c r="AC127" s="34" t="s">
        <v>64</v>
      </c>
      <c r="AD127" s="34" t="s">
        <v>64</v>
      </c>
      <c r="AE127" s="1" t="s">
        <v>401</v>
      </c>
      <c r="AF127" s="1" t="s">
        <v>61</v>
      </c>
      <c r="AG127" s="1">
        <v>0</v>
      </c>
      <c r="AH127" s="1" t="s">
        <v>61</v>
      </c>
      <c r="AI127" s="1" t="s">
        <v>427</v>
      </c>
      <c r="AJ127" s="8" t="s">
        <v>64</v>
      </c>
      <c r="AK127" s="8" t="s">
        <v>64</v>
      </c>
      <c r="AL127" s="8" t="s">
        <v>64</v>
      </c>
      <c r="AM127" s="8" t="s">
        <v>64</v>
      </c>
      <c r="AN127" s="8" t="s">
        <v>64</v>
      </c>
      <c r="AO127" s="117"/>
      <c r="AP127" s="49">
        <v>1</v>
      </c>
      <c r="AQ127" s="50">
        <v>6</v>
      </c>
      <c r="AR127" s="49">
        <v>1</v>
      </c>
      <c r="AS127" s="50">
        <v>2</v>
      </c>
      <c r="AT127" s="49">
        <v>1</v>
      </c>
      <c r="AU127" s="49">
        <v>25</v>
      </c>
    </row>
    <row r="128" spans="1:47" ht="29.1">
      <c r="A128" s="2" t="s">
        <v>47</v>
      </c>
      <c r="B128" s="39" t="s">
        <v>48</v>
      </c>
      <c r="C128" s="1" t="s">
        <v>260</v>
      </c>
      <c r="D128" s="1" t="s">
        <v>307</v>
      </c>
      <c r="E128" s="1" t="s">
        <v>371</v>
      </c>
      <c r="F128" s="1" t="s">
        <v>433</v>
      </c>
      <c r="G128" s="1" t="s">
        <v>382</v>
      </c>
      <c r="H128" s="1">
        <v>34</v>
      </c>
      <c r="I128" s="3">
        <v>42194</v>
      </c>
      <c r="J128" s="1">
        <v>-1.5867397000000001</v>
      </c>
      <c r="K128" s="1">
        <v>29.946233700000001</v>
      </c>
      <c r="L128" s="1">
        <v>2355</v>
      </c>
      <c r="M128" s="1">
        <v>0</v>
      </c>
      <c r="N128" s="1" t="s">
        <v>481</v>
      </c>
      <c r="O128" s="88">
        <f>7*22</f>
        <v>154</v>
      </c>
      <c r="P128" s="1">
        <v>3</v>
      </c>
      <c r="Q128" s="1" t="s">
        <v>189</v>
      </c>
      <c r="R128" s="1" t="s">
        <v>266</v>
      </c>
      <c r="S128" s="1" t="s">
        <v>281</v>
      </c>
      <c r="T128" s="9">
        <v>1</v>
      </c>
      <c r="U128" s="9">
        <v>100</v>
      </c>
      <c r="V128" s="94">
        <f>AVERAGE(70,30,10,65,40,15,82,50,20,68,45,20,85,46,25,75,42,20,65,40,10,85,45,35,80,40,30,95,45,30,70,50,10,80,50,15,75,60,10,65,50,20,70,70,50,60,50,10,50,30,5,90,60,15,85,70,20,100,75,25)</f>
        <v>48.3</v>
      </c>
      <c r="W128" s="54">
        <v>0</v>
      </c>
      <c r="X128" s="54" t="s">
        <v>64</v>
      </c>
      <c r="Y128" s="103" t="s">
        <v>64</v>
      </c>
      <c r="Z128" s="35">
        <v>0</v>
      </c>
      <c r="AA128" s="37" t="s">
        <v>64</v>
      </c>
      <c r="AB128" s="33" t="s">
        <v>58</v>
      </c>
      <c r="AC128" s="34" t="s">
        <v>64</v>
      </c>
      <c r="AD128" s="34" t="s">
        <v>64</v>
      </c>
      <c r="AE128" s="1" t="s">
        <v>282</v>
      </c>
      <c r="AF128" s="1" t="s">
        <v>61</v>
      </c>
      <c r="AG128" s="1">
        <v>0</v>
      </c>
      <c r="AH128" s="1" t="s">
        <v>61</v>
      </c>
      <c r="AI128" s="1" t="s">
        <v>482</v>
      </c>
      <c r="AJ128" s="8" t="s">
        <v>64</v>
      </c>
      <c r="AK128" s="8" t="s">
        <v>64</v>
      </c>
      <c r="AL128" s="8" t="s">
        <v>64</v>
      </c>
      <c r="AM128" s="8" t="s">
        <v>64</v>
      </c>
      <c r="AN128" s="8" t="s">
        <v>64</v>
      </c>
      <c r="AO128" s="117"/>
      <c r="AP128" s="49">
        <v>1</v>
      </c>
      <c r="AQ128" s="49">
        <v>2</v>
      </c>
      <c r="AR128" s="49">
        <v>1</v>
      </c>
      <c r="AS128" s="50">
        <v>2</v>
      </c>
      <c r="AT128" s="49">
        <v>1</v>
      </c>
      <c r="AU128" s="49">
        <v>10</v>
      </c>
    </row>
    <row r="129" spans="1:47" ht="57.95">
      <c r="A129" s="2" t="s">
        <v>47</v>
      </c>
      <c r="B129" s="39" t="s">
        <v>48</v>
      </c>
      <c r="C129" s="1" t="s">
        <v>260</v>
      </c>
      <c r="D129" s="1" t="s">
        <v>380</v>
      </c>
      <c r="E129" s="1" t="s">
        <v>483</v>
      </c>
      <c r="F129" s="1" t="s">
        <v>484</v>
      </c>
      <c r="G129" s="1" t="s">
        <v>485</v>
      </c>
      <c r="H129" s="1">
        <v>47</v>
      </c>
      <c r="I129" s="3">
        <v>42195</v>
      </c>
      <c r="J129" s="1">
        <v>-1.6394697</v>
      </c>
      <c r="K129" s="1">
        <v>29.498472199999998</v>
      </c>
      <c r="L129" s="1">
        <v>2381</v>
      </c>
      <c r="M129" s="1">
        <v>787031713</v>
      </c>
      <c r="N129" s="1" t="s">
        <v>486</v>
      </c>
      <c r="O129" s="88">
        <f>50*10</f>
        <v>500</v>
      </c>
      <c r="P129" s="1">
        <v>3.5</v>
      </c>
      <c r="Q129" s="1" t="s">
        <v>189</v>
      </c>
      <c r="R129" s="1" t="s">
        <v>266</v>
      </c>
      <c r="S129" s="1" t="s">
        <v>487</v>
      </c>
      <c r="T129" s="9">
        <v>1</v>
      </c>
      <c r="U129" s="9">
        <v>100</v>
      </c>
      <c r="V129" s="94">
        <f>AVERAGE(50,25,5,40,20,1,60,50,10,40,10,2,30,10,15,5,1,20,10,3,20,4,2,20,5,2,15,8,25,7,3,20,8,2,25,10,2,23,8,4,19,10,3,25,10,5,35,20,5,15,5,10,1,15,10,5)</f>
        <v>14.517857142857142</v>
      </c>
      <c r="W129" s="57">
        <v>0</v>
      </c>
      <c r="X129" s="57" t="s">
        <v>64</v>
      </c>
      <c r="Y129" s="104" t="s">
        <v>64</v>
      </c>
      <c r="Z129" s="6">
        <v>0</v>
      </c>
      <c r="AA129" s="12" t="s">
        <v>64</v>
      </c>
      <c r="AB129" s="33" t="s">
        <v>58</v>
      </c>
      <c r="AC129" s="34" t="s">
        <v>64</v>
      </c>
      <c r="AD129" s="34" t="s">
        <v>64</v>
      </c>
      <c r="AE129" s="1" t="s">
        <v>401</v>
      </c>
      <c r="AF129" s="1" t="s">
        <v>61</v>
      </c>
      <c r="AG129" s="1">
        <v>4</v>
      </c>
      <c r="AH129" s="1" t="s">
        <v>61</v>
      </c>
      <c r="AI129" s="1" t="s">
        <v>488</v>
      </c>
      <c r="AJ129" s="9">
        <v>3.23</v>
      </c>
      <c r="AK129" s="9">
        <v>0</v>
      </c>
      <c r="AL129" s="9">
        <v>0</v>
      </c>
      <c r="AM129" s="9">
        <v>0</v>
      </c>
      <c r="AN129" s="9">
        <v>0</v>
      </c>
      <c r="AO129" s="117"/>
      <c r="AP129" s="49">
        <v>1</v>
      </c>
      <c r="AQ129" s="50">
        <v>2</v>
      </c>
      <c r="AR129" s="49">
        <v>1</v>
      </c>
      <c r="AS129" s="50">
        <v>3</v>
      </c>
      <c r="AT129" s="49">
        <v>1</v>
      </c>
      <c r="AU129" s="49">
        <v>30</v>
      </c>
    </row>
    <row r="130" spans="1:47" ht="29.1">
      <c r="A130" s="2" t="s">
        <v>47</v>
      </c>
      <c r="B130" s="39" t="s">
        <v>48</v>
      </c>
      <c r="C130" s="1" t="s">
        <v>260</v>
      </c>
      <c r="D130" s="1" t="s">
        <v>261</v>
      </c>
      <c r="E130" s="1" t="s">
        <v>267</v>
      </c>
      <c r="F130" s="1" t="s">
        <v>489</v>
      </c>
      <c r="G130" s="1" t="s">
        <v>490</v>
      </c>
      <c r="H130" s="1">
        <v>6</v>
      </c>
      <c r="I130" s="3">
        <v>42185</v>
      </c>
      <c r="J130" s="2">
        <v>-1.4349255999999999</v>
      </c>
      <c r="K130" s="2">
        <v>29.555952099999999</v>
      </c>
      <c r="L130" s="2">
        <v>2386</v>
      </c>
      <c r="M130" s="1">
        <v>788512569</v>
      </c>
      <c r="N130" s="3" t="s">
        <v>491</v>
      </c>
      <c r="O130" s="88">
        <f>60*48</f>
        <v>2880</v>
      </c>
      <c r="P130" s="1">
        <v>3</v>
      </c>
      <c r="Q130" s="1" t="s">
        <v>128</v>
      </c>
      <c r="R130" s="1" t="s">
        <v>266</v>
      </c>
      <c r="S130" s="1" t="s">
        <v>267</v>
      </c>
      <c r="T130" s="6">
        <v>1</v>
      </c>
      <c r="U130" s="7">
        <f>19/20*100</f>
        <v>95</v>
      </c>
      <c r="V130" s="96">
        <f>AVERAGE(5,2,3,1,10,5,1,1,1,1,2,1,1,5,1,2,1,1,3,1,7,2,3,3,1,2,1,1,7,5,2,3,2,1,8,5,3)</f>
        <v>2.810810810810811</v>
      </c>
      <c r="W130" s="56">
        <v>1</v>
      </c>
      <c r="X130" s="56">
        <f>6/20*100</f>
        <v>30</v>
      </c>
      <c r="Y130" s="101">
        <f>AVERAGE(1,27,11,7,9,12,0,0,0,0,0,0,0,0,0,0,0,0,0,0)</f>
        <v>3.35</v>
      </c>
      <c r="Z130" s="6">
        <v>0</v>
      </c>
      <c r="AA130" s="12" t="s">
        <v>64</v>
      </c>
      <c r="AB130" s="33" t="s">
        <v>58</v>
      </c>
      <c r="AC130" s="34" t="s">
        <v>64</v>
      </c>
      <c r="AD130" s="34" t="s">
        <v>64</v>
      </c>
      <c r="AE130" s="1" t="s">
        <v>492</v>
      </c>
      <c r="AF130" s="1" t="s">
        <v>160</v>
      </c>
      <c r="AG130" s="1">
        <v>2</v>
      </c>
      <c r="AH130" s="1" t="s">
        <v>61</v>
      </c>
      <c r="AI130" s="1" t="s">
        <v>493</v>
      </c>
      <c r="AJ130" s="8">
        <v>4.4000000000000004</v>
      </c>
      <c r="AK130" s="9">
        <v>0</v>
      </c>
      <c r="AL130" s="9">
        <v>0</v>
      </c>
      <c r="AM130" s="9">
        <v>0</v>
      </c>
      <c r="AN130" s="9">
        <v>0</v>
      </c>
      <c r="AO130" s="117"/>
      <c r="AP130" s="49">
        <v>1</v>
      </c>
      <c r="AQ130" s="49">
        <v>3</v>
      </c>
      <c r="AR130" s="49">
        <v>1</v>
      </c>
      <c r="AS130" s="50">
        <v>2</v>
      </c>
      <c r="AT130" s="49">
        <v>1</v>
      </c>
      <c r="AU130" s="49">
        <v>30</v>
      </c>
    </row>
    <row r="131" spans="1:47" ht="29.1">
      <c r="A131" s="2" t="s">
        <v>47</v>
      </c>
      <c r="B131" s="39" t="s">
        <v>48</v>
      </c>
      <c r="C131" s="1" t="s">
        <v>260</v>
      </c>
      <c r="D131" s="1" t="s">
        <v>380</v>
      </c>
      <c r="E131" s="1" t="s">
        <v>494</v>
      </c>
      <c r="F131" s="1" t="s">
        <v>318</v>
      </c>
      <c r="G131" s="1" t="s">
        <v>471</v>
      </c>
      <c r="H131" s="1">
        <v>56</v>
      </c>
      <c r="I131" s="3">
        <v>42199</v>
      </c>
      <c r="J131" s="1">
        <v>-1.5990664000000001</v>
      </c>
      <c r="K131" s="1">
        <v>29.559667600000001</v>
      </c>
      <c r="L131" s="1">
        <v>2392</v>
      </c>
      <c r="M131" s="1">
        <v>0</v>
      </c>
      <c r="N131" s="1" t="s">
        <v>495</v>
      </c>
      <c r="O131" s="88">
        <f>40*35</f>
        <v>1400</v>
      </c>
      <c r="P131" s="1">
        <v>3</v>
      </c>
      <c r="Q131" s="1" t="s">
        <v>189</v>
      </c>
      <c r="R131" s="1" t="s">
        <v>266</v>
      </c>
      <c r="S131" s="1" t="s">
        <v>267</v>
      </c>
      <c r="T131" s="9">
        <v>1</v>
      </c>
      <c r="U131" s="9">
        <f>15/20*100</f>
        <v>75</v>
      </c>
      <c r="V131" s="94">
        <f>AVERAGE(5,5,10,5,1,5,4,1,16,3,1,2,1,1,4,2,2,1,5,1,6,2,1)</f>
        <v>3.652173913043478</v>
      </c>
      <c r="W131" s="57">
        <v>0</v>
      </c>
      <c r="X131" s="57" t="s">
        <v>64</v>
      </c>
      <c r="Y131" s="104" t="s">
        <v>64</v>
      </c>
      <c r="Z131" s="6">
        <v>0</v>
      </c>
      <c r="AA131" s="12" t="s">
        <v>64</v>
      </c>
      <c r="AB131" s="33" t="s">
        <v>58</v>
      </c>
      <c r="AC131" s="34" t="s">
        <v>64</v>
      </c>
      <c r="AD131" s="34" t="s">
        <v>64</v>
      </c>
      <c r="AE131" s="1" t="s">
        <v>312</v>
      </c>
      <c r="AF131" s="1" t="s">
        <v>61</v>
      </c>
      <c r="AG131" s="1">
        <v>2</v>
      </c>
      <c r="AH131" s="1" t="s">
        <v>61</v>
      </c>
      <c r="AI131" s="1" t="s">
        <v>408</v>
      </c>
      <c r="AJ131" s="9">
        <v>2.09</v>
      </c>
      <c r="AK131" s="9">
        <v>1</v>
      </c>
      <c r="AL131" s="9">
        <v>0.01</v>
      </c>
      <c r="AM131" s="9">
        <v>1</v>
      </c>
      <c r="AN131" s="9">
        <v>2</v>
      </c>
      <c r="AO131" s="117"/>
      <c r="AP131" s="49">
        <v>1</v>
      </c>
      <c r="AQ131" s="50">
        <v>3</v>
      </c>
      <c r="AR131" s="49">
        <v>1</v>
      </c>
      <c r="AS131" s="50">
        <v>2</v>
      </c>
      <c r="AT131" s="49">
        <v>1</v>
      </c>
      <c r="AU131" s="49">
        <v>30</v>
      </c>
    </row>
    <row r="132" spans="1:47" ht="43.5">
      <c r="A132" s="2" t="s">
        <v>47</v>
      </c>
      <c r="B132" s="39" t="s">
        <v>48</v>
      </c>
      <c r="C132" s="1" t="s">
        <v>260</v>
      </c>
      <c r="D132" s="1" t="s">
        <v>261</v>
      </c>
      <c r="E132" s="1" t="s">
        <v>458</v>
      </c>
      <c r="F132" s="1" t="s">
        <v>459</v>
      </c>
      <c r="G132" s="1" t="s">
        <v>318</v>
      </c>
      <c r="H132" s="1">
        <v>14</v>
      </c>
      <c r="I132" s="3">
        <v>42185</v>
      </c>
      <c r="J132" s="2">
        <v>-1.5502130999999999</v>
      </c>
      <c r="K132" s="2">
        <v>29.522075699999998</v>
      </c>
      <c r="L132" s="2">
        <v>2413</v>
      </c>
      <c r="M132" s="1">
        <v>786761647</v>
      </c>
      <c r="N132" s="1" t="s">
        <v>496</v>
      </c>
      <c r="O132" s="88">
        <f>30*25</f>
        <v>750</v>
      </c>
      <c r="P132" s="1">
        <v>2</v>
      </c>
      <c r="Q132" s="1" t="s">
        <v>55</v>
      </c>
      <c r="R132" s="1" t="s">
        <v>266</v>
      </c>
      <c r="S132" s="1" t="s">
        <v>497</v>
      </c>
      <c r="T132" s="6">
        <v>1</v>
      </c>
      <c r="U132" s="7">
        <f>15/20*100</f>
        <v>75</v>
      </c>
      <c r="V132" s="96">
        <f>AVERAGE(3,1,10,10,5,5,5,2,9,3,1,7,2,6,3,1,10,4,3,1,13,6,2,5,2,1,7,3,1,6,1)</f>
        <v>4.4516129032258061</v>
      </c>
      <c r="W132" s="56">
        <v>1</v>
      </c>
      <c r="X132" s="56">
        <f>1/20*100</f>
        <v>5</v>
      </c>
      <c r="Y132" s="101">
        <f>1/20</f>
        <v>0.05</v>
      </c>
      <c r="Z132" s="6">
        <v>0</v>
      </c>
      <c r="AA132" s="12" t="s">
        <v>64</v>
      </c>
      <c r="AB132" s="10" t="s">
        <v>84</v>
      </c>
      <c r="AC132" s="8">
        <f>1/20*100</f>
        <v>5</v>
      </c>
      <c r="AD132" s="8">
        <v>1</v>
      </c>
      <c r="AE132" s="1" t="s">
        <v>498</v>
      </c>
      <c r="AF132" s="1" t="s">
        <v>61</v>
      </c>
      <c r="AG132" s="1">
        <v>3</v>
      </c>
      <c r="AH132" s="1" t="s">
        <v>61</v>
      </c>
      <c r="AI132" s="1" t="s">
        <v>499</v>
      </c>
      <c r="AJ132" s="8">
        <v>4.0199999999999996</v>
      </c>
      <c r="AK132" s="9">
        <v>0</v>
      </c>
      <c r="AL132" s="9">
        <v>0</v>
      </c>
      <c r="AM132" s="9">
        <v>0</v>
      </c>
      <c r="AN132" s="9">
        <v>0</v>
      </c>
      <c r="AO132" s="117"/>
      <c r="AP132" s="49">
        <v>1</v>
      </c>
      <c r="AQ132" s="49">
        <v>3</v>
      </c>
      <c r="AR132" s="49">
        <v>1</v>
      </c>
      <c r="AS132" s="50">
        <v>2</v>
      </c>
      <c r="AT132" s="49">
        <v>1</v>
      </c>
      <c r="AU132" s="49">
        <v>40</v>
      </c>
    </row>
    <row r="133" spans="1:47" ht="29.1">
      <c r="A133" s="2" t="s">
        <v>47</v>
      </c>
      <c r="B133" s="39" t="s">
        <v>48</v>
      </c>
      <c r="C133" s="1" t="s">
        <v>260</v>
      </c>
      <c r="D133" s="1" t="s">
        <v>261</v>
      </c>
      <c r="E133" s="1" t="s">
        <v>267</v>
      </c>
      <c r="F133" s="1" t="s">
        <v>500</v>
      </c>
      <c r="G133" s="1" t="s">
        <v>501</v>
      </c>
      <c r="H133" s="1">
        <v>7</v>
      </c>
      <c r="I133" s="3">
        <v>42185</v>
      </c>
      <c r="J133" s="2">
        <v>-1.4380455999999999</v>
      </c>
      <c r="K133" s="2">
        <v>29.5454483</v>
      </c>
      <c r="L133" s="2">
        <v>2446</v>
      </c>
      <c r="M133" s="1">
        <v>788699680</v>
      </c>
      <c r="N133" s="3" t="s">
        <v>502</v>
      </c>
      <c r="O133" s="88">
        <v>2446</v>
      </c>
      <c r="P133" s="1">
        <v>3</v>
      </c>
      <c r="Q133" s="1" t="s">
        <v>128</v>
      </c>
      <c r="R133" s="1" t="s">
        <v>266</v>
      </c>
      <c r="S133" s="1" t="s">
        <v>267</v>
      </c>
      <c r="T133" s="6">
        <v>1</v>
      </c>
      <c r="U133" s="7">
        <f>19/20*100</f>
        <v>95</v>
      </c>
      <c r="V133" s="96">
        <f>AVERAGE(1,1,1,2,1,5,1,1,2,1,3,1,1,2,1,6,2,2,2,1,4,3,1,4,2,1,1,5,3,2,6,3,1,4,2)</f>
        <v>2.2571428571428571</v>
      </c>
      <c r="W133" s="56">
        <v>1</v>
      </c>
      <c r="X133" s="56">
        <f>1/20*100</f>
        <v>5</v>
      </c>
      <c r="Y133" s="101">
        <f>AVERAGE(5,0,0,0,0,0,0,0,0,0,0,0,0,0,0,0,0,0,0,0)</f>
        <v>0.25</v>
      </c>
      <c r="Z133" s="35">
        <v>0</v>
      </c>
      <c r="AA133" s="37" t="s">
        <v>64</v>
      </c>
      <c r="AB133" s="33" t="s">
        <v>58</v>
      </c>
      <c r="AC133" s="34" t="s">
        <v>64</v>
      </c>
      <c r="AD133" s="34" t="s">
        <v>64</v>
      </c>
      <c r="AE133" s="1" t="s">
        <v>503</v>
      </c>
      <c r="AF133" s="1" t="s">
        <v>61</v>
      </c>
      <c r="AG133" s="1">
        <v>0</v>
      </c>
      <c r="AH133" s="1" t="s">
        <v>61</v>
      </c>
      <c r="AI133" s="1" t="s">
        <v>504</v>
      </c>
      <c r="AJ133" s="8" t="s">
        <v>64</v>
      </c>
      <c r="AK133" s="8" t="s">
        <v>64</v>
      </c>
      <c r="AL133" s="8" t="s">
        <v>64</v>
      </c>
      <c r="AM133" s="8" t="s">
        <v>64</v>
      </c>
      <c r="AN133" s="8" t="s">
        <v>64</v>
      </c>
      <c r="AO133" s="117"/>
      <c r="AP133" s="49">
        <v>1</v>
      </c>
      <c r="AQ133" s="49">
        <v>2</v>
      </c>
      <c r="AR133" s="49">
        <v>1</v>
      </c>
      <c r="AS133" s="50">
        <v>2</v>
      </c>
      <c r="AT133" s="49">
        <v>1</v>
      </c>
      <c r="AU133" s="49">
        <v>30</v>
      </c>
    </row>
    <row r="134" spans="1:47" ht="29.1">
      <c r="A134" s="2" t="s">
        <v>47</v>
      </c>
      <c r="B134" s="39" t="s">
        <v>48</v>
      </c>
      <c r="C134" s="1" t="s">
        <v>260</v>
      </c>
      <c r="D134" s="1" t="s">
        <v>261</v>
      </c>
      <c r="E134" s="1" t="s">
        <v>267</v>
      </c>
      <c r="F134" s="1" t="s">
        <v>500</v>
      </c>
      <c r="G134" s="1" t="s">
        <v>505</v>
      </c>
      <c r="H134" s="1">
        <v>8</v>
      </c>
      <c r="I134" s="3">
        <v>42185</v>
      </c>
      <c r="J134" s="2">
        <v>-1.4444505000000001</v>
      </c>
      <c r="K134" s="2">
        <v>29.5378094</v>
      </c>
      <c r="L134" s="2">
        <v>2450</v>
      </c>
      <c r="M134" s="1">
        <v>784672311</v>
      </c>
      <c r="N134" s="3" t="s">
        <v>506</v>
      </c>
      <c r="O134" s="88">
        <v>2450</v>
      </c>
      <c r="P134" s="1">
        <v>3</v>
      </c>
      <c r="Q134" s="1" t="s">
        <v>128</v>
      </c>
      <c r="R134" s="1" t="s">
        <v>266</v>
      </c>
      <c r="S134" s="1" t="s">
        <v>267</v>
      </c>
      <c r="T134" s="6">
        <v>1</v>
      </c>
      <c r="U134" s="7">
        <f>17/20*100</f>
        <v>85</v>
      </c>
      <c r="V134" s="96">
        <f>AVERAGE(1,1,1,1,2,1,1,1,1,1,7,4,2,1,1,3,3,1,1,2,1,1,4,2,1,5,1,1,3,2,1)</f>
        <v>1.8709677419354838</v>
      </c>
      <c r="W134" s="56">
        <v>1</v>
      </c>
      <c r="X134" s="56">
        <f>1/20*100</f>
        <v>5</v>
      </c>
      <c r="Y134" s="101">
        <f>AVERAGE(3,0,0,0,0,0,0,0,0,0,0,0,0,0,0,0,0,0,0,0)</f>
        <v>0.15</v>
      </c>
      <c r="Z134" s="6">
        <v>0</v>
      </c>
      <c r="AA134" s="12" t="s">
        <v>64</v>
      </c>
      <c r="AB134" s="10" t="s">
        <v>84</v>
      </c>
      <c r="AC134" s="8">
        <f>1/20*100</f>
        <v>5</v>
      </c>
      <c r="AD134" s="7">
        <f>AVERAGE(1,0,0,0,0,0,0,0,0,0,0,0,0,0,0,0,0,0,0,0)</f>
        <v>0.05</v>
      </c>
      <c r="AE134" s="1" t="s">
        <v>507</v>
      </c>
      <c r="AF134" s="1" t="s">
        <v>61</v>
      </c>
      <c r="AG134" s="1">
        <v>4</v>
      </c>
      <c r="AH134" s="1" t="s">
        <v>61</v>
      </c>
      <c r="AI134" s="1" t="s">
        <v>508</v>
      </c>
      <c r="AJ134" s="8" t="s">
        <v>64</v>
      </c>
      <c r="AK134" s="8" t="s">
        <v>64</v>
      </c>
      <c r="AL134" s="8" t="s">
        <v>64</v>
      </c>
      <c r="AM134" s="8" t="s">
        <v>64</v>
      </c>
      <c r="AN134" s="8" t="s">
        <v>64</v>
      </c>
      <c r="AO134" s="117"/>
      <c r="AP134" s="49">
        <v>1</v>
      </c>
      <c r="AQ134" s="49">
        <v>2</v>
      </c>
      <c r="AR134" s="49">
        <v>1</v>
      </c>
      <c r="AS134" s="50">
        <v>2</v>
      </c>
      <c r="AT134" s="49">
        <v>1</v>
      </c>
      <c r="AU134" s="49">
        <v>30</v>
      </c>
    </row>
    <row r="135" spans="1:47" ht="57.95">
      <c r="A135" s="2" t="s">
        <v>47</v>
      </c>
      <c r="B135" s="39" t="s">
        <v>48</v>
      </c>
      <c r="C135" s="1" t="s">
        <v>260</v>
      </c>
      <c r="D135" s="1" t="s">
        <v>380</v>
      </c>
      <c r="E135" s="1" t="s">
        <v>413</v>
      </c>
      <c r="F135" s="1" t="s">
        <v>509</v>
      </c>
      <c r="G135" s="1" t="s">
        <v>375</v>
      </c>
      <c r="H135" s="1">
        <v>48</v>
      </c>
      <c r="I135" s="3">
        <v>42195</v>
      </c>
      <c r="J135" s="1">
        <v>-1.6643250999999999</v>
      </c>
      <c r="K135" s="1">
        <v>29.5212574</v>
      </c>
      <c r="L135" s="1">
        <v>2469</v>
      </c>
      <c r="M135" s="1">
        <v>784092770</v>
      </c>
      <c r="N135" s="1" t="s">
        <v>510</v>
      </c>
      <c r="O135" s="88">
        <f>5*10</f>
        <v>50</v>
      </c>
      <c r="P135" s="1">
        <v>3.5</v>
      </c>
      <c r="Q135" s="1" t="s">
        <v>189</v>
      </c>
      <c r="R135" s="1" t="s">
        <v>266</v>
      </c>
      <c r="S135" s="1" t="s">
        <v>511</v>
      </c>
      <c r="T135" s="9">
        <v>1</v>
      </c>
      <c r="U135" s="9">
        <v>100</v>
      </c>
      <c r="V135" s="94">
        <f>AVERAGE(5,1,5,1,10,5,5,1,2)</f>
        <v>3.8888888888888888</v>
      </c>
      <c r="W135" s="57">
        <v>0</v>
      </c>
      <c r="X135" s="57" t="s">
        <v>64</v>
      </c>
      <c r="Y135" s="104" t="s">
        <v>64</v>
      </c>
      <c r="Z135" s="6">
        <v>0</v>
      </c>
      <c r="AA135" s="12" t="s">
        <v>64</v>
      </c>
      <c r="AB135" s="33" t="s">
        <v>58</v>
      </c>
      <c r="AC135" s="34" t="s">
        <v>64</v>
      </c>
      <c r="AD135" s="34" t="s">
        <v>64</v>
      </c>
      <c r="AE135" s="1" t="s">
        <v>312</v>
      </c>
      <c r="AF135" s="1" t="s">
        <v>61</v>
      </c>
      <c r="AG135" s="1">
        <v>0</v>
      </c>
      <c r="AH135" s="1" t="s">
        <v>61</v>
      </c>
      <c r="AI135" s="1" t="s">
        <v>403</v>
      </c>
      <c r="AJ135" s="8" t="s">
        <v>64</v>
      </c>
      <c r="AK135" s="8" t="s">
        <v>64</v>
      </c>
      <c r="AL135" s="8" t="s">
        <v>64</v>
      </c>
      <c r="AM135" s="8" t="s">
        <v>64</v>
      </c>
      <c r="AN135" s="8" t="s">
        <v>64</v>
      </c>
      <c r="AO135" s="117"/>
      <c r="AP135" s="49">
        <v>1</v>
      </c>
      <c r="AQ135" s="50">
        <v>2</v>
      </c>
      <c r="AR135" s="49">
        <v>1</v>
      </c>
      <c r="AS135" s="50">
        <v>2</v>
      </c>
      <c r="AT135" s="49">
        <v>1</v>
      </c>
      <c r="AU135" s="49">
        <v>15</v>
      </c>
    </row>
    <row r="136" spans="1:47" ht="29.1">
      <c r="A136" s="2" t="s">
        <v>47</v>
      </c>
      <c r="B136" s="39" t="s">
        <v>48</v>
      </c>
      <c r="C136" s="1" t="s">
        <v>260</v>
      </c>
      <c r="D136" s="1" t="s">
        <v>261</v>
      </c>
      <c r="E136" s="1" t="s">
        <v>458</v>
      </c>
      <c r="F136" s="1" t="s">
        <v>459</v>
      </c>
      <c r="G136" s="1" t="s">
        <v>512</v>
      </c>
      <c r="H136" s="1">
        <v>15</v>
      </c>
      <c r="I136" s="3">
        <v>42185</v>
      </c>
      <c r="J136" s="2">
        <v>-1.5520423999999999</v>
      </c>
      <c r="K136" s="2">
        <v>29.515550600000001</v>
      </c>
      <c r="L136" s="2">
        <v>2486</v>
      </c>
      <c r="M136" s="1">
        <v>782219123</v>
      </c>
      <c r="N136" s="1" t="s">
        <v>513</v>
      </c>
      <c r="O136" s="88">
        <f>40*30</f>
        <v>1200</v>
      </c>
      <c r="P136" s="1">
        <v>2</v>
      </c>
      <c r="Q136" s="1" t="s">
        <v>150</v>
      </c>
      <c r="R136" s="1" t="s">
        <v>266</v>
      </c>
      <c r="S136" s="1" t="s">
        <v>267</v>
      </c>
      <c r="T136" s="6">
        <v>1</v>
      </c>
      <c r="U136" s="7">
        <f>18/20*100</f>
        <v>90</v>
      </c>
      <c r="V136" s="96">
        <f>AVERAGE(10,5,2,2,2,5,1,10,5,5,2,1,7,2,1,10,6,3,13,6,4,9,4,2,10,3,1,11,8,3,9,7,4,13,9,2,13,10,4,10,6,2,10,5)</f>
        <v>5.8409090909090908</v>
      </c>
      <c r="W136" s="56">
        <v>1</v>
      </c>
      <c r="X136" s="56">
        <f>3/20*100</f>
        <v>15</v>
      </c>
      <c r="Y136" s="104">
        <f>AVERAGE(17,0,0,0,0,0,0,0,0,0,0,0,0,0,0,0,0,0,0,0)</f>
        <v>0.85</v>
      </c>
      <c r="Z136" s="6">
        <v>0</v>
      </c>
      <c r="AA136" s="12" t="s">
        <v>64</v>
      </c>
      <c r="AB136" s="33" t="s">
        <v>58</v>
      </c>
      <c r="AC136" s="34" t="s">
        <v>64</v>
      </c>
      <c r="AD136" s="34" t="s">
        <v>64</v>
      </c>
      <c r="AE136" s="1" t="s">
        <v>268</v>
      </c>
      <c r="AF136" s="1" t="s">
        <v>160</v>
      </c>
      <c r="AG136" s="1">
        <v>0</v>
      </c>
      <c r="AH136" s="1" t="s">
        <v>61</v>
      </c>
      <c r="AI136" s="1" t="s">
        <v>514</v>
      </c>
      <c r="AJ136" s="8" t="s">
        <v>64</v>
      </c>
      <c r="AK136" s="8" t="s">
        <v>64</v>
      </c>
      <c r="AL136" s="8" t="s">
        <v>64</v>
      </c>
      <c r="AM136" s="8" t="s">
        <v>64</v>
      </c>
      <c r="AN136" s="8" t="s">
        <v>64</v>
      </c>
      <c r="AO136" s="117"/>
      <c r="AP136" s="49">
        <v>1</v>
      </c>
      <c r="AQ136" s="49">
        <v>3</v>
      </c>
      <c r="AR136" s="49">
        <v>1</v>
      </c>
      <c r="AS136" s="50">
        <v>2</v>
      </c>
      <c r="AT136" s="49">
        <v>1</v>
      </c>
      <c r="AU136" s="49">
        <v>20</v>
      </c>
    </row>
    <row r="137" spans="1:47" ht="43.5">
      <c r="A137" s="2" t="s">
        <v>47</v>
      </c>
      <c r="B137" s="39" t="s">
        <v>48</v>
      </c>
      <c r="C137" s="1" t="s">
        <v>260</v>
      </c>
      <c r="D137" s="1" t="s">
        <v>261</v>
      </c>
      <c r="E137" s="1" t="s">
        <v>267</v>
      </c>
      <c r="F137" s="1" t="s">
        <v>500</v>
      </c>
      <c r="G137" s="1" t="s">
        <v>515</v>
      </c>
      <c r="H137" s="1">
        <v>9</v>
      </c>
      <c r="I137" s="3">
        <v>42185</v>
      </c>
      <c r="J137" s="2">
        <v>-1.4433632999999999</v>
      </c>
      <c r="K137" s="2">
        <v>29.5291119</v>
      </c>
      <c r="L137" s="2">
        <v>2500</v>
      </c>
      <c r="M137" s="1">
        <v>72569708</v>
      </c>
      <c r="N137" s="1" t="s">
        <v>516</v>
      </c>
      <c r="O137" s="88">
        <v>2500</v>
      </c>
      <c r="P137" s="1">
        <v>2.5</v>
      </c>
      <c r="Q137" s="1" t="s">
        <v>150</v>
      </c>
      <c r="R137" s="1" t="s">
        <v>266</v>
      </c>
      <c r="S137" s="1" t="s">
        <v>517</v>
      </c>
      <c r="T137" s="6">
        <v>1</v>
      </c>
      <c r="U137" s="7">
        <f>4/20*100</f>
        <v>20</v>
      </c>
      <c r="V137" s="96">
        <f>AVERAGE(1,1,1,1,1,0,0,0,0,0,0,0,0,0,0,0,0,0,0,0,0,0,0,0,0,0,0,0,0,0,0)</f>
        <v>0.16129032258064516</v>
      </c>
      <c r="W137" s="56">
        <v>1</v>
      </c>
      <c r="X137" s="56">
        <f>7/20*100</f>
        <v>35</v>
      </c>
      <c r="Y137" s="101">
        <f>AVERAGE(6,0,4,0,0,7,0,8,0,0,5,0,0,3,0,0,1,0,0,0)</f>
        <v>1.7</v>
      </c>
      <c r="Z137" s="35">
        <v>0</v>
      </c>
      <c r="AA137" s="37" t="s">
        <v>64</v>
      </c>
      <c r="AB137" s="33" t="s">
        <v>58</v>
      </c>
      <c r="AC137" s="34" t="s">
        <v>64</v>
      </c>
      <c r="AD137" s="34" t="s">
        <v>64</v>
      </c>
      <c r="AE137" s="1" t="s">
        <v>518</v>
      </c>
      <c r="AF137" s="1" t="s">
        <v>160</v>
      </c>
      <c r="AG137" s="1">
        <v>4</v>
      </c>
      <c r="AH137" s="1" t="s">
        <v>61</v>
      </c>
      <c r="AI137" s="1" t="s">
        <v>519</v>
      </c>
      <c r="AJ137" s="8">
        <v>3.49</v>
      </c>
      <c r="AK137" s="9">
        <v>0</v>
      </c>
      <c r="AL137" s="9">
        <v>0</v>
      </c>
      <c r="AM137" s="9">
        <v>0</v>
      </c>
      <c r="AN137" s="9">
        <v>0</v>
      </c>
      <c r="AO137" s="117"/>
      <c r="AP137" s="49">
        <v>1</v>
      </c>
      <c r="AQ137" s="49">
        <v>2</v>
      </c>
      <c r="AR137" s="49">
        <v>1</v>
      </c>
      <c r="AS137" s="50">
        <v>3</v>
      </c>
      <c r="AT137" s="49">
        <v>1</v>
      </c>
      <c r="AU137" s="49">
        <v>40</v>
      </c>
    </row>
    <row r="138" spans="1:47" ht="43.5">
      <c r="A138" s="2" t="s">
        <v>47</v>
      </c>
      <c r="B138" s="39" t="s">
        <v>48</v>
      </c>
      <c r="C138" s="1" t="s">
        <v>260</v>
      </c>
      <c r="D138" s="1" t="s">
        <v>261</v>
      </c>
      <c r="E138" s="1" t="s">
        <v>520</v>
      </c>
      <c r="F138" s="1" t="s">
        <v>521</v>
      </c>
      <c r="G138" s="1" t="s">
        <v>522</v>
      </c>
      <c r="H138" s="1">
        <v>12</v>
      </c>
      <c r="I138" s="3">
        <v>42185</v>
      </c>
      <c r="J138" s="2">
        <v>-1.5074619</v>
      </c>
      <c r="K138" s="2">
        <v>29.532014799999999</v>
      </c>
      <c r="L138" s="2">
        <v>2509</v>
      </c>
      <c r="M138" s="1">
        <v>0</v>
      </c>
      <c r="N138" s="1" t="s">
        <v>523</v>
      </c>
      <c r="O138" s="88">
        <f>15*55</f>
        <v>825</v>
      </c>
      <c r="P138" s="1">
        <v>2</v>
      </c>
      <c r="Q138" s="1" t="s">
        <v>150</v>
      </c>
      <c r="R138" s="1" t="s">
        <v>266</v>
      </c>
      <c r="S138" s="1" t="s">
        <v>524</v>
      </c>
      <c r="T138" s="6">
        <v>1</v>
      </c>
      <c r="U138" s="7">
        <f>14/20*100</f>
        <v>70</v>
      </c>
      <c r="V138" s="96">
        <f>AVERAGE(5,2,5,1,2,1,2,1,3,1,2,1,1,3,2,1,1,1,1,3,2,2,2,1,3,2,1)</f>
        <v>1.9259259259259258</v>
      </c>
      <c r="W138" s="56">
        <v>1</v>
      </c>
      <c r="X138" s="56">
        <f>4/20*100</f>
        <v>20</v>
      </c>
      <c r="Y138" s="101">
        <f>AVERAGE(9,5,3,1,0,0,0,0,0,0,0,0,0,0,0,0,0,0,0,0)</f>
        <v>0.9</v>
      </c>
      <c r="Z138" s="6">
        <v>0</v>
      </c>
      <c r="AA138" s="12" t="s">
        <v>64</v>
      </c>
      <c r="AB138" s="33" t="s">
        <v>58</v>
      </c>
      <c r="AC138" s="34" t="s">
        <v>64</v>
      </c>
      <c r="AD138" s="34" t="s">
        <v>64</v>
      </c>
      <c r="AE138" s="1" t="s">
        <v>525</v>
      </c>
      <c r="AF138" s="1" t="s">
        <v>61</v>
      </c>
      <c r="AG138" s="1">
        <v>0</v>
      </c>
      <c r="AH138" s="1" t="s">
        <v>61</v>
      </c>
      <c r="AI138" s="1" t="s">
        <v>273</v>
      </c>
      <c r="AJ138" s="8" t="s">
        <v>64</v>
      </c>
      <c r="AK138" s="8" t="s">
        <v>64</v>
      </c>
      <c r="AL138" s="8" t="s">
        <v>64</v>
      </c>
      <c r="AM138" s="8" t="s">
        <v>64</v>
      </c>
      <c r="AN138" s="8" t="s">
        <v>64</v>
      </c>
      <c r="AO138" s="117"/>
      <c r="AP138" s="49">
        <v>1</v>
      </c>
      <c r="AQ138" s="49">
        <v>2</v>
      </c>
      <c r="AR138" s="49">
        <v>1</v>
      </c>
      <c r="AS138" s="50">
        <v>2</v>
      </c>
      <c r="AT138" s="49">
        <v>1</v>
      </c>
      <c r="AU138" s="49">
        <v>15</v>
      </c>
    </row>
    <row r="139" spans="1:47" ht="72.599999999999994">
      <c r="A139" s="2" t="s">
        <v>47</v>
      </c>
      <c r="B139" s="39" t="s">
        <v>48</v>
      </c>
      <c r="C139" s="1" t="s">
        <v>260</v>
      </c>
      <c r="D139" s="1" t="s">
        <v>261</v>
      </c>
      <c r="E139" s="1" t="s">
        <v>520</v>
      </c>
      <c r="F139" s="1" t="s">
        <v>526</v>
      </c>
      <c r="G139" s="1" t="s">
        <v>527</v>
      </c>
      <c r="H139" s="1">
        <v>11</v>
      </c>
      <c r="I139" s="3">
        <v>42185</v>
      </c>
      <c r="J139" s="2">
        <v>-1.4967877000000001</v>
      </c>
      <c r="K139" s="2">
        <v>29.533556000000001</v>
      </c>
      <c r="L139" s="2">
        <v>2510</v>
      </c>
      <c r="M139" s="1">
        <v>0</v>
      </c>
      <c r="N139" s="1" t="s">
        <v>528</v>
      </c>
      <c r="O139" s="88">
        <f>20*30</f>
        <v>600</v>
      </c>
      <c r="P139" s="1">
        <v>3.5</v>
      </c>
      <c r="Q139" s="1" t="s">
        <v>189</v>
      </c>
      <c r="R139" s="1" t="s">
        <v>266</v>
      </c>
      <c r="S139" s="1" t="s">
        <v>529</v>
      </c>
      <c r="T139" s="6">
        <v>1</v>
      </c>
      <c r="U139" s="7">
        <v>100</v>
      </c>
      <c r="V139" s="96">
        <f>AVERAGE(1,5,10,5,1,5,2,1,5,5,2,10,5,1,15,5,3,1,1,5,5,2,4,2,2,7,4,3,4,2,7,6,3,5,2,2,4,3,3,9,7,4,6,3,2,2,2,1,5,5,1)</f>
        <v>4.0196078431372548</v>
      </c>
      <c r="W139" s="57">
        <v>0</v>
      </c>
      <c r="X139" s="57" t="s">
        <v>64</v>
      </c>
      <c r="Y139" s="104" t="s">
        <v>64</v>
      </c>
      <c r="Z139" s="6">
        <v>0</v>
      </c>
      <c r="AA139" s="12" t="s">
        <v>64</v>
      </c>
      <c r="AB139" s="33" t="s">
        <v>58</v>
      </c>
      <c r="AC139" s="34" t="s">
        <v>64</v>
      </c>
      <c r="AD139" s="34" t="s">
        <v>64</v>
      </c>
      <c r="AE139" s="1" t="s">
        <v>525</v>
      </c>
      <c r="AF139" s="1" t="s">
        <v>61</v>
      </c>
      <c r="AG139" s="1">
        <v>2</v>
      </c>
      <c r="AH139" s="1" t="s">
        <v>61</v>
      </c>
      <c r="AI139" s="1" t="s">
        <v>196</v>
      </c>
      <c r="AJ139" s="8">
        <v>4</v>
      </c>
      <c r="AK139" s="9">
        <v>0</v>
      </c>
      <c r="AL139" s="9">
        <v>0</v>
      </c>
      <c r="AM139" s="9">
        <v>0</v>
      </c>
      <c r="AN139" s="9">
        <v>0</v>
      </c>
      <c r="AO139" s="117"/>
      <c r="AP139" s="49">
        <v>1</v>
      </c>
      <c r="AQ139" s="49">
        <v>4</v>
      </c>
      <c r="AR139" s="49">
        <v>1</v>
      </c>
      <c r="AS139" s="50">
        <v>2</v>
      </c>
      <c r="AT139" s="49">
        <v>1</v>
      </c>
      <c r="AU139" s="49">
        <v>30</v>
      </c>
    </row>
    <row r="140" spans="1:47" ht="29.1">
      <c r="A140" s="2" t="s">
        <v>47</v>
      </c>
      <c r="B140" s="39" t="s">
        <v>48</v>
      </c>
      <c r="C140" s="1" t="s">
        <v>260</v>
      </c>
      <c r="D140" s="1" t="s">
        <v>261</v>
      </c>
      <c r="E140" s="1" t="s">
        <v>267</v>
      </c>
      <c r="F140" s="1" t="s">
        <v>500</v>
      </c>
      <c r="G140" s="1" t="s">
        <v>530</v>
      </c>
      <c r="H140" s="1">
        <v>10</v>
      </c>
      <c r="I140" s="3">
        <v>42185</v>
      </c>
      <c r="J140" s="2">
        <v>-1.4569269</v>
      </c>
      <c r="K140" s="2">
        <v>29.524751699999999</v>
      </c>
      <c r="L140" s="1">
        <v>2523</v>
      </c>
      <c r="M140" s="1">
        <v>785599595</v>
      </c>
      <c r="N140" s="1" t="s">
        <v>531</v>
      </c>
      <c r="O140" s="91">
        <f>26*50</f>
        <v>1300</v>
      </c>
      <c r="P140" s="1">
        <v>3.5</v>
      </c>
      <c r="Q140" s="1" t="s">
        <v>189</v>
      </c>
      <c r="R140" s="1" t="s">
        <v>266</v>
      </c>
      <c r="S140" s="1" t="s">
        <v>267</v>
      </c>
      <c r="T140" s="6">
        <v>1</v>
      </c>
      <c r="U140" s="7">
        <f>18/20*100</f>
        <v>90</v>
      </c>
      <c r="V140" s="96">
        <f>AVERAGE(1,1,1,1,1,1,2,1,1,5,1,5,3,2,1,7,4,2,3,1,1,2,1,1,3,3,2,4,2,1,5,5,3,6,4,1,5,1,1,4,3,2)</f>
        <v>2.4761904761904763</v>
      </c>
      <c r="W140" s="56">
        <v>1</v>
      </c>
      <c r="X140" s="56">
        <f>3/20*100</f>
        <v>15</v>
      </c>
      <c r="Y140" s="101">
        <f>AVERAGE(3,2,1,0,0,0,0,0,0,0,0,0,0,0,0,0,0,0,0,0)</f>
        <v>0.3</v>
      </c>
      <c r="Z140" s="6">
        <v>0</v>
      </c>
      <c r="AA140" s="12" t="s">
        <v>64</v>
      </c>
      <c r="AB140" s="33" t="s">
        <v>58</v>
      </c>
      <c r="AC140" s="34" t="s">
        <v>64</v>
      </c>
      <c r="AD140" s="34" t="s">
        <v>64</v>
      </c>
      <c r="AE140" s="1" t="s">
        <v>532</v>
      </c>
      <c r="AF140" s="1" t="s">
        <v>61</v>
      </c>
      <c r="AG140" s="1">
        <v>4</v>
      </c>
      <c r="AH140" s="1" t="s">
        <v>61</v>
      </c>
      <c r="AI140" s="1" t="s">
        <v>533</v>
      </c>
      <c r="AJ140" s="8">
        <v>4.6900000000000004</v>
      </c>
      <c r="AK140" s="9">
        <v>0</v>
      </c>
      <c r="AL140" s="9">
        <v>0</v>
      </c>
      <c r="AM140" s="9">
        <v>0</v>
      </c>
      <c r="AN140" s="9">
        <v>0</v>
      </c>
      <c r="AO140" s="117"/>
      <c r="AP140" s="49">
        <v>1</v>
      </c>
      <c r="AQ140" s="49">
        <v>2</v>
      </c>
      <c r="AR140" s="49">
        <v>1</v>
      </c>
      <c r="AS140" s="50">
        <v>2</v>
      </c>
      <c r="AT140" s="49">
        <v>1</v>
      </c>
      <c r="AU140" s="49">
        <v>80</v>
      </c>
    </row>
    <row r="141" spans="1:47" ht="29.1">
      <c r="A141" s="1" t="s">
        <v>47</v>
      </c>
      <c r="B141" s="1" t="s">
        <v>144</v>
      </c>
      <c r="C141" s="1" t="s">
        <v>260</v>
      </c>
      <c r="D141" s="1" t="s">
        <v>261</v>
      </c>
      <c r="E141" s="1" t="s">
        <v>534</v>
      </c>
      <c r="F141" s="1" t="s">
        <v>535</v>
      </c>
      <c r="G141" s="1" t="s">
        <v>536</v>
      </c>
      <c r="H141" s="1">
        <v>51</v>
      </c>
      <c r="I141" s="3">
        <v>43076</v>
      </c>
      <c r="J141" s="1">
        <v>-1.5492809999999999</v>
      </c>
      <c r="K141" s="1">
        <v>29.673262000000001</v>
      </c>
      <c r="L141" s="1">
        <v>1650</v>
      </c>
      <c r="M141" s="1">
        <v>788574937</v>
      </c>
      <c r="N141" s="1" t="s">
        <v>537</v>
      </c>
      <c r="O141" s="88">
        <f>28*25</f>
        <v>700</v>
      </c>
      <c r="P141" s="1">
        <v>3.5</v>
      </c>
      <c r="Q141" s="1" t="s">
        <v>189</v>
      </c>
      <c r="R141" s="1" t="s">
        <v>266</v>
      </c>
      <c r="S141" s="1" t="s">
        <v>452</v>
      </c>
      <c r="T141" s="9">
        <v>0</v>
      </c>
      <c r="U141" s="9" t="s">
        <v>64</v>
      </c>
      <c r="V141" s="94" t="s">
        <v>64</v>
      </c>
      <c r="W141" s="57">
        <v>1</v>
      </c>
      <c r="X141" s="57">
        <f>1/10*100</f>
        <v>10</v>
      </c>
      <c r="Y141" s="104">
        <f>AVERAGE(1,0,0,0,0,0,0,0,0,0)</f>
        <v>0.1</v>
      </c>
      <c r="Z141" s="9">
        <v>1</v>
      </c>
      <c r="AA141" s="9">
        <f>AVERAGE(1,0,0,0,0,0,0,0,0,0)</f>
        <v>0.1</v>
      </c>
      <c r="AB141" s="33" t="s">
        <v>58</v>
      </c>
      <c r="AC141" s="34" t="s">
        <v>64</v>
      </c>
      <c r="AD141" s="34" t="s">
        <v>64</v>
      </c>
      <c r="AE141" s="1" t="s">
        <v>538</v>
      </c>
      <c r="AF141" s="1" t="s">
        <v>73</v>
      </c>
      <c r="AG141" s="1">
        <v>0</v>
      </c>
      <c r="AH141" s="1" t="s">
        <v>64</v>
      </c>
      <c r="AI141" s="1" t="s">
        <v>539</v>
      </c>
      <c r="AJ141" s="9">
        <v>2.6</v>
      </c>
      <c r="AK141" s="9">
        <v>0</v>
      </c>
      <c r="AL141" s="9">
        <v>0</v>
      </c>
      <c r="AM141" s="9">
        <v>0</v>
      </c>
      <c r="AN141" s="9">
        <v>0</v>
      </c>
      <c r="AO141" s="117"/>
      <c r="AP141" s="117">
        <v>1</v>
      </c>
      <c r="AQ141" s="117">
        <v>4</v>
      </c>
      <c r="AR141" s="117">
        <v>1</v>
      </c>
      <c r="AS141" s="122">
        <v>5</v>
      </c>
      <c r="AT141" s="117">
        <v>1</v>
      </c>
      <c r="AU141" s="117">
        <f>AVERAGE(2,1,2,2,4,1,1,2,1,4,2,3,2,1,1,1,4,2,1,1)/5*100</f>
        <v>38</v>
      </c>
    </row>
    <row r="142" spans="1:47" ht="43.5">
      <c r="A142" s="1" t="s">
        <v>47</v>
      </c>
      <c r="B142" s="1" t="s">
        <v>144</v>
      </c>
      <c r="C142" s="1" t="s">
        <v>260</v>
      </c>
      <c r="D142" s="1" t="s">
        <v>540</v>
      </c>
      <c r="E142" s="1" t="s">
        <v>541</v>
      </c>
      <c r="F142" s="1" t="s">
        <v>542</v>
      </c>
      <c r="G142" s="1" t="s">
        <v>542</v>
      </c>
      <c r="H142" s="1">
        <v>52</v>
      </c>
      <c r="I142" s="3">
        <v>43076</v>
      </c>
      <c r="J142" s="1">
        <v>-1.615596</v>
      </c>
      <c r="K142" s="1">
        <v>29.683941000000001</v>
      </c>
      <c r="L142" s="1">
        <v>1669</v>
      </c>
      <c r="M142" s="1" t="s">
        <v>64</v>
      </c>
      <c r="N142" s="1" t="s">
        <v>543</v>
      </c>
      <c r="O142" s="88">
        <f>4*5</f>
        <v>20</v>
      </c>
      <c r="P142" s="1">
        <v>1.5</v>
      </c>
      <c r="Q142" s="1" t="s">
        <v>55</v>
      </c>
      <c r="R142" s="1" t="s">
        <v>266</v>
      </c>
      <c r="S142" s="1" t="s">
        <v>64</v>
      </c>
      <c r="T142" s="9">
        <v>0</v>
      </c>
      <c r="U142" s="9" t="s">
        <v>64</v>
      </c>
      <c r="V142" s="94" t="s">
        <v>64</v>
      </c>
      <c r="W142" s="57">
        <v>0</v>
      </c>
      <c r="X142" s="57" t="s">
        <v>64</v>
      </c>
      <c r="Y142" s="104" t="s">
        <v>64</v>
      </c>
      <c r="Z142" s="6">
        <v>0</v>
      </c>
      <c r="AA142" s="12" t="s">
        <v>64</v>
      </c>
      <c r="AB142" s="33" t="s">
        <v>58</v>
      </c>
      <c r="AC142" s="34" t="s">
        <v>64</v>
      </c>
      <c r="AD142" s="34" t="s">
        <v>64</v>
      </c>
      <c r="AE142" s="1" t="s">
        <v>64</v>
      </c>
      <c r="AF142" s="1" t="s">
        <v>61</v>
      </c>
      <c r="AG142" s="1">
        <v>0</v>
      </c>
      <c r="AH142" s="1" t="s">
        <v>64</v>
      </c>
      <c r="AI142" s="1" t="s">
        <v>64</v>
      </c>
      <c r="AO142" s="117"/>
      <c r="AP142" s="117">
        <v>1</v>
      </c>
      <c r="AQ142" s="117">
        <v>5</v>
      </c>
      <c r="AR142" s="117">
        <v>1</v>
      </c>
      <c r="AS142" s="122">
        <v>5</v>
      </c>
      <c r="AT142" s="117">
        <v>1</v>
      </c>
      <c r="AU142" s="117">
        <f>AVERAGE(1,2,1,2,1,1,2,3,1,1,1,1,2,1,1,2,2,2,1,1)/5*100</f>
        <v>28.999999999999996</v>
      </c>
    </row>
    <row r="143" spans="1:47" ht="29.1">
      <c r="A143" s="1" t="s">
        <v>47</v>
      </c>
      <c r="B143" s="1" t="s">
        <v>144</v>
      </c>
      <c r="C143" s="1" t="s">
        <v>260</v>
      </c>
      <c r="D143" s="1" t="s">
        <v>261</v>
      </c>
      <c r="E143" s="1" t="s">
        <v>262</v>
      </c>
      <c r="F143" s="1" t="s">
        <v>263</v>
      </c>
      <c r="G143" s="1" t="s">
        <v>269</v>
      </c>
      <c r="H143" s="1">
        <v>39</v>
      </c>
      <c r="I143" s="3">
        <v>43074</v>
      </c>
      <c r="J143" s="1">
        <v>-1.538664</v>
      </c>
      <c r="K143" s="1">
        <v>29.633475000000001</v>
      </c>
      <c r="L143" s="1">
        <v>1676</v>
      </c>
      <c r="M143" s="1" t="s">
        <v>64</v>
      </c>
      <c r="N143" s="1" t="s">
        <v>544</v>
      </c>
      <c r="O143" s="88">
        <f>5*19</f>
        <v>95</v>
      </c>
      <c r="P143" s="1">
        <v>2.5</v>
      </c>
      <c r="Q143" s="1" t="s">
        <v>128</v>
      </c>
      <c r="R143" s="1" t="s">
        <v>266</v>
      </c>
      <c r="S143" s="1" t="s">
        <v>290</v>
      </c>
      <c r="T143" s="9">
        <v>0</v>
      </c>
      <c r="U143" s="9" t="s">
        <v>64</v>
      </c>
      <c r="V143" s="94" t="s">
        <v>64</v>
      </c>
      <c r="W143" s="57">
        <v>1</v>
      </c>
      <c r="X143" s="57">
        <f>3/10*100</f>
        <v>30</v>
      </c>
      <c r="Y143" s="104">
        <f>AVERAGE(0,3,4,11,0,0,0,0,0,2)</f>
        <v>2</v>
      </c>
      <c r="Z143" s="35">
        <v>0</v>
      </c>
      <c r="AA143" s="37" t="s">
        <v>64</v>
      </c>
      <c r="AB143" s="33" t="s">
        <v>58</v>
      </c>
      <c r="AC143" s="34" t="s">
        <v>64</v>
      </c>
      <c r="AD143" s="34" t="s">
        <v>64</v>
      </c>
      <c r="AE143" s="1" t="s">
        <v>545</v>
      </c>
      <c r="AF143" s="1" t="s">
        <v>61</v>
      </c>
      <c r="AG143" s="1">
        <v>1</v>
      </c>
      <c r="AH143" s="1" t="s">
        <v>64</v>
      </c>
      <c r="AI143" s="1" t="s">
        <v>546</v>
      </c>
      <c r="AJ143" s="9">
        <v>8.75</v>
      </c>
      <c r="AK143" s="9">
        <v>0</v>
      </c>
      <c r="AL143" s="9">
        <v>0</v>
      </c>
      <c r="AM143" s="9">
        <v>0</v>
      </c>
      <c r="AN143" s="9">
        <v>0</v>
      </c>
      <c r="AO143" s="117"/>
      <c r="AP143" s="117">
        <v>1</v>
      </c>
      <c r="AQ143" s="117">
        <v>4</v>
      </c>
      <c r="AR143" s="117">
        <v>1</v>
      </c>
      <c r="AS143" s="122">
        <v>5</v>
      </c>
      <c r="AT143" s="117">
        <v>1</v>
      </c>
      <c r="AU143" s="117">
        <f>AVERAGE(1,2,2,1,2,2,1,1,1,2,1,1,2,1,1,1,2,2,1,2)/5*100</f>
        <v>28.999999999999996</v>
      </c>
    </row>
    <row r="144" spans="1:47" ht="29.1">
      <c r="A144" s="1" t="s">
        <v>47</v>
      </c>
      <c r="B144" s="1" t="s">
        <v>144</v>
      </c>
      <c r="C144" s="1" t="s">
        <v>260</v>
      </c>
      <c r="D144" s="1" t="s">
        <v>540</v>
      </c>
      <c r="E144" s="1" t="s">
        <v>547</v>
      </c>
      <c r="F144" s="1" t="s">
        <v>548</v>
      </c>
      <c r="G144" s="1" t="s">
        <v>549</v>
      </c>
      <c r="H144" s="1">
        <v>53</v>
      </c>
      <c r="I144" s="3">
        <v>43076</v>
      </c>
      <c r="J144" s="1">
        <v>-1.6406179999999999</v>
      </c>
      <c r="K144" s="1">
        <v>29.672377000000001</v>
      </c>
      <c r="L144" s="1">
        <v>1710</v>
      </c>
      <c r="M144" s="1" t="s">
        <v>64</v>
      </c>
      <c r="N144" s="1" t="s">
        <v>550</v>
      </c>
      <c r="O144" s="88" t="s">
        <v>64</v>
      </c>
      <c r="P144" s="1">
        <v>1.5</v>
      </c>
      <c r="Q144" s="1" t="s">
        <v>55</v>
      </c>
      <c r="R144" s="1" t="s">
        <v>266</v>
      </c>
      <c r="S144" s="1" t="s">
        <v>551</v>
      </c>
      <c r="T144" s="9">
        <v>0</v>
      </c>
      <c r="U144" s="9" t="s">
        <v>64</v>
      </c>
      <c r="V144" s="94" t="s">
        <v>64</v>
      </c>
      <c r="W144" s="57">
        <v>0</v>
      </c>
      <c r="X144" s="57" t="s">
        <v>64</v>
      </c>
      <c r="Y144" s="104" t="s">
        <v>64</v>
      </c>
      <c r="Z144" s="6">
        <v>0</v>
      </c>
      <c r="AA144" s="12" t="s">
        <v>64</v>
      </c>
      <c r="AB144" s="33" t="s">
        <v>58</v>
      </c>
      <c r="AC144" s="34" t="s">
        <v>64</v>
      </c>
      <c r="AD144" s="34" t="s">
        <v>64</v>
      </c>
      <c r="AE144" s="1" t="s">
        <v>155</v>
      </c>
      <c r="AF144" s="1" t="s">
        <v>73</v>
      </c>
      <c r="AG144" s="1">
        <v>0</v>
      </c>
      <c r="AH144" s="1" t="s">
        <v>61</v>
      </c>
      <c r="AI144" s="1" t="s">
        <v>61</v>
      </c>
      <c r="AJ144" s="9">
        <v>0.38700000000000001</v>
      </c>
      <c r="AK144" s="9">
        <v>0</v>
      </c>
      <c r="AL144" s="9">
        <v>0</v>
      </c>
      <c r="AM144" s="9">
        <v>0</v>
      </c>
      <c r="AN144" s="9">
        <v>0</v>
      </c>
      <c r="AO144" s="117"/>
      <c r="AP144" s="117">
        <v>1</v>
      </c>
      <c r="AQ144" s="117">
        <v>4</v>
      </c>
      <c r="AR144" s="117">
        <v>1</v>
      </c>
      <c r="AS144" s="122">
        <v>4</v>
      </c>
      <c r="AT144" s="117">
        <v>1</v>
      </c>
      <c r="AU144" s="117">
        <f>AVERAGE(2,1,2,1,3,1,1,1,2,3,1,4,2,1,1,2,3,1,1,3)/5*100</f>
        <v>36</v>
      </c>
    </row>
    <row r="145" spans="1:47" ht="43.5">
      <c r="A145" s="1" t="s">
        <v>47</v>
      </c>
      <c r="B145" s="1" t="s">
        <v>144</v>
      </c>
      <c r="C145" s="1" t="s">
        <v>260</v>
      </c>
      <c r="D145" s="1" t="s">
        <v>307</v>
      </c>
      <c r="E145" s="1" t="s">
        <v>552</v>
      </c>
      <c r="F145" s="1" t="s">
        <v>553</v>
      </c>
      <c r="G145" s="1" t="s">
        <v>554</v>
      </c>
      <c r="H145" s="1">
        <v>40</v>
      </c>
      <c r="I145" s="3">
        <v>43075</v>
      </c>
      <c r="J145" s="1">
        <v>-1.4695780000000001</v>
      </c>
      <c r="K145" s="1">
        <v>29.725601999999999</v>
      </c>
      <c r="L145" s="1">
        <v>1820</v>
      </c>
      <c r="M145" s="1">
        <v>785688717</v>
      </c>
      <c r="N145" s="1" t="s">
        <v>555</v>
      </c>
      <c r="O145" s="88">
        <f>44*25</f>
        <v>1100</v>
      </c>
      <c r="P145" s="1">
        <v>3</v>
      </c>
      <c r="Q145" s="1" t="s">
        <v>189</v>
      </c>
      <c r="R145" s="1" t="s">
        <v>266</v>
      </c>
      <c r="S145" s="1" t="s">
        <v>290</v>
      </c>
      <c r="T145" s="9">
        <v>0</v>
      </c>
      <c r="U145" s="9" t="s">
        <v>64</v>
      </c>
      <c r="V145" s="94" t="s">
        <v>64</v>
      </c>
      <c r="W145" s="54">
        <v>0</v>
      </c>
      <c r="X145" s="54" t="s">
        <v>64</v>
      </c>
      <c r="Y145" s="103" t="s">
        <v>64</v>
      </c>
      <c r="Z145" s="6">
        <v>0</v>
      </c>
      <c r="AA145" s="12" t="s">
        <v>64</v>
      </c>
      <c r="AB145" s="33" t="s">
        <v>58</v>
      </c>
      <c r="AC145" s="34" t="s">
        <v>64</v>
      </c>
      <c r="AD145" s="34" t="s">
        <v>64</v>
      </c>
      <c r="AE145" s="1" t="s">
        <v>556</v>
      </c>
      <c r="AF145" s="1" t="s">
        <v>73</v>
      </c>
      <c r="AG145" s="1">
        <v>1</v>
      </c>
      <c r="AH145" s="1" t="s">
        <v>64</v>
      </c>
      <c r="AI145" s="1" t="s">
        <v>557</v>
      </c>
      <c r="AJ145" s="9">
        <v>1.1399999999999999</v>
      </c>
      <c r="AK145" s="9">
        <v>0</v>
      </c>
      <c r="AL145" s="9">
        <v>0</v>
      </c>
      <c r="AM145" s="9">
        <v>0</v>
      </c>
      <c r="AN145" s="9">
        <v>0</v>
      </c>
      <c r="AO145" s="117"/>
      <c r="AP145" s="117">
        <v>1</v>
      </c>
      <c r="AQ145" s="117">
        <v>4</v>
      </c>
      <c r="AR145" s="117">
        <v>1</v>
      </c>
      <c r="AS145" s="122">
        <v>4</v>
      </c>
      <c r="AT145" s="117">
        <v>1</v>
      </c>
      <c r="AU145" s="117">
        <f>AVERAGE(1,2,2,2,3,1,1,3,1,4,2,2,1,1,1,3,1,4,2,2)/5*100</f>
        <v>39</v>
      </c>
    </row>
    <row r="146" spans="1:47" ht="29.1">
      <c r="A146" s="1" t="s">
        <v>47</v>
      </c>
      <c r="B146" s="1" t="s">
        <v>144</v>
      </c>
      <c r="C146" s="1" t="s">
        <v>260</v>
      </c>
      <c r="D146" s="1" t="s">
        <v>307</v>
      </c>
      <c r="E146" s="1" t="s">
        <v>316</v>
      </c>
      <c r="F146" s="1" t="s">
        <v>317</v>
      </c>
      <c r="G146" s="1" t="s">
        <v>558</v>
      </c>
      <c r="H146" s="1">
        <v>1</v>
      </c>
      <c r="I146" s="3">
        <v>43063</v>
      </c>
      <c r="J146" s="1">
        <v>-1.3836459999999999</v>
      </c>
      <c r="K146" s="1">
        <v>29.798036</v>
      </c>
      <c r="L146" s="1">
        <v>1865</v>
      </c>
      <c r="M146" s="1">
        <v>0</v>
      </c>
      <c r="N146" s="1" t="s">
        <v>559</v>
      </c>
      <c r="O146" s="88">
        <f>27*17</f>
        <v>459</v>
      </c>
      <c r="P146" s="1">
        <v>3</v>
      </c>
      <c r="Q146" s="1" t="s">
        <v>189</v>
      </c>
      <c r="R146" s="1" t="s">
        <v>266</v>
      </c>
      <c r="S146" s="1" t="s">
        <v>497</v>
      </c>
      <c r="T146" s="9">
        <v>1</v>
      </c>
      <c r="U146" s="9">
        <f>1/10*100</f>
        <v>10</v>
      </c>
      <c r="V146" s="93">
        <f>AVERAGE(1,0,0,0,0,0,0,0,0,0,0,0,0,0,0,0,0,0,0,0,0,0,0,0,0,0,0,0,0,0)</f>
        <v>3.3333333333333333E-2</v>
      </c>
      <c r="W146" s="57">
        <v>1</v>
      </c>
      <c r="X146" s="57">
        <f>3/10*100</f>
        <v>30</v>
      </c>
      <c r="Y146" s="104">
        <f>AVERAGE(4,0,0,0,0,0,0,0,0,0)</f>
        <v>0.4</v>
      </c>
      <c r="Z146" s="6">
        <v>0</v>
      </c>
      <c r="AA146" s="12" t="s">
        <v>64</v>
      </c>
      <c r="AB146" s="86">
        <v>1</v>
      </c>
      <c r="AC146" s="9">
        <f>1/10*100</f>
        <v>10</v>
      </c>
      <c r="AD146" s="44">
        <f>AVERAGE(1,0,0,0,0,0,0,0,0,0,0,0,0,0,0,0,0,0,0,0)</f>
        <v>0.05</v>
      </c>
      <c r="AE146" s="1" t="s">
        <v>560</v>
      </c>
      <c r="AF146" s="1" t="s">
        <v>61</v>
      </c>
      <c r="AG146" s="1">
        <v>0</v>
      </c>
      <c r="AH146" s="1" t="s">
        <v>61</v>
      </c>
      <c r="AI146" s="1" t="s">
        <v>561</v>
      </c>
      <c r="AJ146" s="9">
        <v>2.0379999999999998</v>
      </c>
      <c r="AK146" s="9">
        <v>2</v>
      </c>
      <c r="AL146" s="9">
        <v>0.39</v>
      </c>
      <c r="AM146" s="9">
        <v>0.02</v>
      </c>
      <c r="AN146" s="9">
        <v>3</v>
      </c>
      <c r="AO146" s="117"/>
      <c r="AP146" s="117">
        <v>1</v>
      </c>
      <c r="AQ146" s="117">
        <v>3</v>
      </c>
      <c r="AR146" s="117">
        <v>1</v>
      </c>
      <c r="AS146" s="122">
        <v>5</v>
      </c>
      <c r="AT146" s="117">
        <v>1</v>
      </c>
      <c r="AU146" s="117">
        <f>AVERAGE(5,3,2,3,4,4,4,5,4,2,4,4,4,4,5,4,3,3,3,3)/5*100</f>
        <v>73</v>
      </c>
    </row>
    <row r="147" spans="1:47" ht="29.1">
      <c r="A147" s="1" t="s">
        <v>47</v>
      </c>
      <c r="B147" s="1" t="s">
        <v>144</v>
      </c>
      <c r="C147" s="1" t="s">
        <v>260</v>
      </c>
      <c r="D147" s="1" t="s">
        <v>261</v>
      </c>
      <c r="E147" s="1" t="s">
        <v>286</v>
      </c>
      <c r="F147" s="1" t="s">
        <v>562</v>
      </c>
      <c r="G147" s="1" t="s">
        <v>563</v>
      </c>
      <c r="H147" s="1">
        <v>11</v>
      </c>
      <c r="I147" s="3">
        <v>43067</v>
      </c>
      <c r="J147" s="1">
        <v>-1.491644</v>
      </c>
      <c r="K147" s="1">
        <v>29.667387000000002</v>
      </c>
      <c r="L147" s="1">
        <v>1866</v>
      </c>
      <c r="M147" s="1">
        <v>788935529</v>
      </c>
      <c r="N147" s="1" t="s">
        <v>564</v>
      </c>
      <c r="O147" s="88">
        <f>15*23</f>
        <v>345</v>
      </c>
      <c r="P147" s="1">
        <v>2.5</v>
      </c>
      <c r="Q147" s="1" t="s">
        <v>150</v>
      </c>
      <c r="R147" s="1" t="s">
        <v>266</v>
      </c>
      <c r="S147" s="1" t="s">
        <v>452</v>
      </c>
      <c r="T147" s="9">
        <v>0</v>
      </c>
      <c r="U147" s="9" t="s">
        <v>64</v>
      </c>
      <c r="V147" s="94" t="s">
        <v>64</v>
      </c>
      <c r="W147" s="57">
        <v>1</v>
      </c>
      <c r="X147" s="57">
        <f>2/10*100</f>
        <v>20</v>
      </c>
      <c r="Y147" s="104">
        <f>AVERAGE(26,4,0,0,0,0,0,0,0,0)</f>
        <v>3</v>
      </c>
      <c r="Z147" s="35">
        <v>0</v>
      </c>
      <c r="AA147" s="37" t="s">
        <v>64</v>
      </c>
      <c r="AB147" s="33" t="s">
        <v>58</v>
      </c>
      <c r="AC147" s="34" t="s">
        <v>64</v>
      </c>
      <c r="AD147" s="34" t="s">
        <v>64</v>
      </c>
      <c r="AE147" s="1" t="s">
        <v>565</v>
      </c>
      <c r="AF147" s="1" t="s">
        <v>61</v>
      </c>
      <c r="AG147" s="1">
        <v>0</v>
      </c>
      <c r="AH147" s="1" t="s">
        <v>61</v>
      </c>
      <c r="AI147" s="1" t="s">
        <v>566</v>
      </c>
      <c r="AO147" s="117"/>
      <c r="AP147" s="117">
        <v>1</v>
      </c>
      <c r="AQ147" s="117">
        <v>4</v>
      </c>
      <c r="AR147" s="117">
        <v>1</v>
      </c>
      <c r="AS147" s="122">
        <v>3</v>
      </c>
      <c r="AT147" s="117">
        <v>1</v>
      </c>
      <c r="AU147" s="117">
        <f>AVERAGE(1,2,1,1,3,1,2,1,1,1,2,1,2,1,1,2,1,1,2,1)/5*100</f>
        <v>27.999999999999996</v>
      </c>
    </row>
    <row r="148" spans="1:47" ht="29.1">
      <c r="A148" s="1" t="s">
        <v>47</v>
      </c>
      <c r="B148" s="1" t="s">
        <v>144</v>
      </c>
      <c r="C148" s="1" t="s">
        <v>260</v>
      </c>
      <c r="D148" s="1" t="s">
        <v>307</v>
      </c>
      <c r="E148" s="1" t="s">
        <v>316</v>
      </c>
      <c r="F148" s="1" t="s">
        <v>317</v>
      </c>
      <c r="G148" s="1" t="s">
        <v>558</v>
      </c>
      <c r="H148" s="1">
        <v>49</v>
      </c>
      <c r="I148" s="3">
        <v>43075</v>
      </c>
      <c r="J148" s="1">
        <v>-1.3815120000000001</v>
      </c>
      <c r="K148" s="1">
        <v>29.795680999999998</v>
      </c>
      <c r="L148" s="1">
        <v>1866</v>
      </c>
      <c r="M148" s="1" t="s">
        <v>64</v>
      </c>
      <c r="N148" s="1" t="s">
        <v>567</v>
      </c>
      <c r="O148" s="88">
        <f>24*30</f>
        <v>720</v>
      </c>
      <c r="P148" s="1" t="s">
        <v>64</v>
      </c>
      <c r="Q148" s="1" t="s">
        <v>64</v>
      </c>
      <c r="R148" s="1" t="s">
        <v>266</v>
      </c>
      <c r="S148" s="1" t="s">
        <v>64</v>
      </c>
      <c r="T148" s="9">
        <v>0</v>
      </c>
      <c r="U148" s="9" t="s">
        <v>64</v>
      </c>
      <c r="V148" s="94" t="s">
        <v>64</v>
      </c>
      <c r="W148" s="54">
        <v>0</v>
      </c>
      <c r="X148" s="54" t="s">
        <v>64</v>
      </c>
      <c r="Y148" s="103" t="s">
        <v>64</v>
      </c>
      <c r="Z148" s="35">
        <v>0</v>
      </c>
      <c r="AA148" s="37" t="s">
        <v>64</v>
      </c>
      <c r="AB148" s="33" t="s">
        <v>58</v>
      </c>
      <c r="AC148" s="34" t="s">
        <v>64</v>
      </c>
      <c r="AD148" s="34" t="s">
        <v>64</v>
      </c>
      <c r="AE148" s="1" t="s">
        <v>155</v>
      </c>
      <c r="AF148" s="1" t="s">
        <v>73</v>
      </c>
      <c r="AG148" s="1">
        <v>0</v>
      </c>
      <c r="AH148" s="1" t="s">
        <v>61</v>
      </c>
      <c r="AI148" s="1" t="s">
        <v>61</v>
      </c>
      <c r="AO148" s="117"/>
      <c r="AP148" s="117">
        <v>1</v>
      </c>
      <c r="AQ148" s="117">
        <v>5</v>
      </c>
      <c r="AR148" s="117">
        <v>1</v>
      </c>
      <c r="AS148" s="122">
        <v>5</v>
      </c>
      <c r="AT148" s="117">
        <v>1</v>
      </c>
      <c r="AU148" s="117">
        <f>AVERAGE(3,2,2,2,1,1,2,3,1,2,1,4,3,1,1,1,2,2,1,1)/5*100</f>
        <v>36</v>
      </c>
    </row>
    <row r="149" spans="1:47" ht="29.1">
      <c r="A149" s="1" t="s">
        <v>47</v>
      </c>
      <c r="B149" s="1" t="s">
        <v>144</v>
      </c>
      <c r="C149" s="1" t="s">
        <v>260</v>
      </c>
      <c r="D149" s="1" t="s">
        <v>261</v>
      </c>
      <c r="E149" s="1" t="s">
        <v>286</v>
      </c>
      <c r="F149" s="1" t="s">
        <v>293</v>
      </c>
      <c r="G149" s="1" t="s">
        <v>300</v>
      </c>
      <c r="H149" s="1">
        <v>12</v>
      </c>
      <c r="I149" s="3">
        <v>43067</v>
      </c>
      <c r="J149" s="1">
        <v>-1.4668829999999999</v>
      </c>
      <c r="K149" s="1">
        <v>29.693885999999999</v>
      </c>
      <c r="L149" s="1">
        <v>1870</v>
      </c>
      <c r="M149" s="1">
        <v>0</v>
      </c>
      <c r="N149" s="1" t="s">
        <v>568</v>
      </c>
      <c r="O149" s="88">
        <f>26*34</f>
        <v>884</v>
      </c>
      <c r="P149" s="1">
        <v>3</v>
      </c>
      <c r="Q149" s="1" t="s">
        <v>189</v>
      </c>
      <c r="R149" s="1" t="s">
        <v>266</v>
      </c>
      <c r="S149" s="1" t="s">
        <v>345</v>
      </c>
      <c r="T149" s="9">
        <v>0</v>
      </c>
      <c r="U149" s="9" t="s">
        <v>64</v>
      </c>
      <c r="V149" s="94" t="s">
        <v>64</v>
      </c>
      <c r="W149" s="57">
        <v>0</v>
      </c>
      <c r="X149" s="57" t="s">
        <v>64</v>
      </c>
      <c r="Y149" s="104" t="s">
        <v>64</v>
      </c>
      <c r="Z149" s="35">
        <v>0</v>
      </c>
      <c r="AA149" s="37" t="s">
        <v>64</v>
      </c>
      <c r="AB149" s="10" t="s">
        <v>84</v>
      </c>
      <c r="AC149" s="11">
        <v>0</v>
      </c>
      <c r="AD149" s="9">
        <v>0</v>
      </c>
      <c r="AE149" s="1" t="s">
        <v>64</v>
      </c>
      <c r="AF149" s="1" t="s">
        <v>61</v>
      </c>
      <c r="AG149" s="1">
        <v>0</v>
      </c>
      <c r="AH149" s="1" t="s">
        <v>64</v>
      </c>
      <c r="AI149" s="1" t="s">
        <v>64</v>
      </c>
      <c r="AO149" s="117"/>
      <c r="AP149" s="117">
        <v>1</v>
      </c>
      <c r="AQ149" s="117">
        <v>4</v>
      </c>
      <c r="AR149" s="117">
        <v>1</v>
      </c>
      <c r="AS149" s="122">
        <v>5</v>
      </c>
      <c r="AT149" s="117">
        <v>1</v>
      </c>
      <c r="AU149" s="117">
        <f>AVERAGE(3,1,1,5,1,1,2,1,3,1,1,1,2,1,1,1,1,1,1,1)/5*100</f>
        <v>30</v>
      </c>
    </row>
    <row r="150" spans="1:47" ht="29.1">
      <c r="A150" s="1" t="s">
        <v>47</v>
      </c>
      <c r="B150" s="1" t="s">
        <v>144</v>
      </c>
      <c r="C150" s="1" t="s">
        <v>260</v>
      </c>
      <c r="D150" s="1" t="s">
        <v>261</v>
      </c>
      <c r="E150" s="1" t="s">
        <v>286</v>
      </c>
      <c r="F150" s="1" t="s">
        <v>324</v>
      </c>
      <c r="G150" s="1" t="s">
        <v>325</v>
      </c>
      <c r="H150" s="1">
        <v>5</v>
      </c>
      <c r="I150" s="3">
        <v>43066</v>
      </c>
      <c r="J150" s="1">
        <v>-1.48237</v>
      </c>
      <c r="K150" s="1">
        <v>29.625616000000001</v>
      </c>
      <c r="L150" s="1">
        <v>1911</v>
      </c>
      <c r="M150" s="1">
        <v>788860731</v>
      </c>
      <c r="N150" s="1" t="s">
        <v>569</v>
      </c>
      <c r="O150" s="88">
        <f>10*20</f>
        <v>200</v>
      </c>
      <c r="P150" s="1">
        <v>3</v>
      </c>
      <c r="Q150" s="1" t="s">
        <v>128</v>
      </c>
      <c r="R150" s="1" t="s">
        <v>266</v>
      </c>
      <c r="S150" s="1" t="s">
        <v>345</v>
      </c>
      <c r="T150" s="9">
        <v>0</v>
      </c>
      <c r="U150" s="9" t="s">
        <v>64</v>
      </c>
      <c r="V150" s="94" t="s">
        <v>64</v>
      </c>
      <c r="W150" s="54">
        <v>0</v>
      </c>
      <c r="X150" s="54" t="s">
        <v>64</v>
      </c>
      <c r="Y150" s="103" t="s">
        <v>64</v>
      </c>
      <c r="Z150" s="35">
        <v>0</v>
      </c>
      <c r="AA150" s="37" t="s">
        <v>64</v>
      </c>
      <c r="AB150" s="33" t="s">
        <v>58</v>
      </c>
      <c r="AC150" s="34" t="s">
        <v>64</v>
      </c>
      <c r="AD150" s="34" t="s">
        <v>64</v>
      </c>
      <c r="AE150" s="1" t="s">
        <v>570</v>
      </c>
      <c r="AF150" s="1" t="s">
        <v>61</v>
      </c>
      <c r="AG150" s="1">
        <v>0</v>
      </c>
      <c r="AH150" s="1" t="s">
        <v>61</v>
      </c>
      <c r="AI150" s="1" t="s">
        <v>61</v>
      </c>
      <c r="AO150" s="117"/>
      <c r="AP150" s="117">
        <v>0</v>
      </c>
      <c r="AQ150" s="117" t="s">
        <v>64</v>
      </c>
      <c r="AR150" s="117">
        <v>0</v>
      </c>
      <c r="AS150" s="122" t="s">
        <v>64</v>
      </c>
      <c r="AT150" s="117">
        <v>1</v>
      </c>
      <c r="AU150" s="117">
        <f>AVERAGE(1,2,3,2,1,1,2,2,2,2,3,2,1,1,2,2,1,2,2,1)/5*100</f>
        <v>35</v>
      </c>
    </row>
    <row r="151" spans="1:47" ht="29.1">
      <c r="A151" s="1" t="s">
        <v>47</v>
      </c>
      <c r="B151" s="1" t="s">
        <v>144</v>
      </c>
      <c r="C151" s="1" t="s">
        <v>260</v>
      </c>
      <c r="D151" s="1" t="s">
        <v>307</v>
      </c>
      <c r="E151" s="1" t="s">
        <v>372</v>
      </c>
      <c r="F151" s="1" t="s">
        <v>571</v>
      </c>
      <c r="G151" s="1" t="s">
        <v>572</v>
      </c>
      <c r="H151" s="1">
        <v>42</v>
      </c>
      <c r="I151" s="3">
        <v>43075</v>
      </c>
      <c r="J151" s="1">
        <v>-3.5217580000000002</v>
      </c>
      <c r="K151" s="1">
        <v>29.787604000000002</v>
      </c>
      <c r="L151" s="1">
        <v>1917</v>
      </c>
      <c r="M151" s="1" t="s">
        <v>64</v>
      </c>
      <c r="N151" s="1" t="s">
        <v>64</v>
      </c>
      <c r="O151" s="88">
        <f>10*8</f>
        <v>80</v>
      </c>
      <c r="P151" s="1">
        <v>2.5</v>
      </c>
      <c r="Q151" s="1" t="s">
        <v>128</v>
      </c>
      <c r="R151" s="1" t="s">
        <v>266</v>
      </c>
      <c r="S151" s="1" t="s">
        <v>64</v>
      </c>
      <c r="T151" s="9">
        <v>0</v>
      </c>
      <c r="U151" s="9" t="s">
        <v>64</v>
      </c>
      <c r="V151" s="94" t="s">
        <v>64</v>
      </c>
      <c r="W151" s="57">
        <v>0</v>
      </c>
      <c r="X151" s="57" t="s">
        <v>64</v>
      </c>
      <c r="Y151" s="104" t="s">
        <v>64</v>
      </c>
      <c r="Z151" s="6">
        <v>0</v>
      </c>
      <c r="AA151" s="12" t="s">
        <v>64</v>
      </c>
      <c r="AB151" s="33" t="s">
        <v>58</v>
      </c>
      <c r="AC151" s="34" t="s">
        <v>64</v>
      </c>
      <c r="AD151" s="34" t="s">
        <v>64</v>
      </c>
      <c r="AE151" s="1" t="s">
        <v>64</v>
      </c>
      <c r="AF151" s="1" t="s">
        <v>73</v>
      </c>
      <c r="AG151" s="1">
        <v>0</v>
      </c>
      <c r="AH151" s="1" t="s">
        <v>64</v>
      </c>
      <c r="AI151" s="1" t="s">
        <v>64</v>
      </c>
      <c r="AO151" s="117"/>
      <c r="AP151" s="117">
        <v>1</v>
      </c>
      <c r="AQ151" s="117">
        <v>4</v>
      </c>
      <c r="AR151" s="117">
        <v>1</v>
      </c>
      <c r="AS151" s="122">
        <v>4</v>
      </c>
      <c r="AT151" s="117">
        <v>1</v>
      </c>
      <c r="AU151" s="117">
        <f>AVERAGE(2,1,3,1,1,3,2,1,4,1,3,1,2,1,1,2,2,3,2,1)/5*100</f>
        <v>37</v>
      </c>
    </row>
    <row r="152" spans="1:47" ht="29.1">
      <c r="A152" s="1" t="s">
        <v>47</v>
      </c>
      <c r="B152" s="1" t="s">
        <v>144</v>
      </c>
      <c r="C152" s="1" t="s">
        <v>260</v>
      </c>
      <c r="D152" s="1" t="s">
        <v>261</v>
      </c>
      <c r="E152" s="1" t="s">
        <v>286</v>
      </c>
      <c r="F152" s="1" t="s">
        <v>573</v>
      </c>
      <c r="G152" s="1" t="s">
        <v>574</v>
      </c>
      <c r="H152" s="1">
        <v>10</v>
      </c>
      <c r="I152" s="3">
        <v>43066</v>
      </c>
      <c r="J152" s="1">
        <v>-1.4667650000000001</v>
      </c>
      <c r="K152" s="1">
        <v>29.648871</v>
      </c>
      <c r="L152" s="1">
        <v>1921</v>
      </c>
      <c r="M152" s="1" t="s">
        <v>64</v>
      </c>
      <c r="N152" s="1" t="s">
        <v>575</v>
      </c>
      <c r="O152" s="88">
        <f>25*13</f>
        <v>325</v>
      </c>
      <c r="P152" s="1">
        <v>3</v>
      </c>
      <c r="Q152" s="1" t="s">
        <v>128</v>
      </c>
      <c r="R152" s="1" t="s">
        <v>266</v>
      </c>
      <c r="S152" s="1" t="s">
        <v>576</v>
      </c>
      <c r="T152" s="9">
        <v>0</v>
      </c>
      <c r="U152" s="9" t="s">
        <v>64</v>
      </c>
      <c r="V152" s="94" t="s">
        <v>64</v>
      </c>
      <c r="W152" s="57">
        <v>0</v>
      </c>
      <c r="X152" s="57" t="s">
        <v>64</v>
      </c>
      <c r="Y152" s="104" t="s">
        <v>64</v>
      </c>
      <c r="Z152" s="6">
        <v>0</v>
      </c>
      <c r="AA152" s="12" t="s">
        <v>64</v>
      </c>
      <c r="AB152" s="33" t="s">
        <v>58</v>
      </c>
      <c r="AC152" s="34" t="s">
        <v>64</v>
      </c>
      <c r="AD152" s="34" t="s">
        <v>64</v>
      </c>
      <c r="AE152" s="1" t="s">
        <v>577</v>
      </c>
      <c r="AF152" s="1" t="s">
        <v>578</v>
      </c>
      <c r="AG152" s="1">
        <v>0</v>
      </c>
      <c r="AH152" s="1" t="s">
        <v>61</v>
      </c>
      <c r="AI152" s="1" t="s">
        <v>579</v>
      </c>
      <c r="AO152" s="117"/>
      <c r="AP152" s="117">
        <v>1</v>
      </c>
      <c r="AQ152" s="117">
        <v>4</v>
      </c>
      <c r="AR152" s="117">
        <v>1</v>
      </c>
      <c r="AS152" s="122">
        <v>3</v>
      </c>
      <c r="AT152" s="117">
        <v>1</v>
      </c>
      <c r="AU152" s="117">
        <f>AVERAGE(2,1,1,2,2,1,1,1,1,1,3,1,1,2,2,2,2,1,1,1)/5*100</f>
        <v>28.999999999999996</v>
      </c>
    </row>
    <row r="153" spans="1:47" ht="29.1">
      <c r="A153" s="1" t="s">
        <v>47</v>
      </c>
      <c r="B153" s="1" t="s">
        <v>144</v>
      </c>
      <c r="C153" s="1" t="s">
        <v>260</v>
      </c>
      <c r="D153" s="1" t="s">
        <v>307</v>
      </c>
      <c r="E153" s="1" t="s">
        <v>308</v>
      </c>
      <c r="F153" s="1" t="s">
        <v>580</v>
      </c>
      <c r="G153" s="1" t="s">
        <v>581</v>
      </c>
      <c r="H153" s="1">
        <v>50</v>
      </c>
      <c r="I153" s="3">
        <v>43075</v>
      </c>
      <c r="J153" s="1">
        <v>-1.3876059999999999</v>
      </c>
      <c r="K153" s="1">
        <v>29.754607</v>
      </c>
      <c r="L153" s="1">
        <v>1943</v>
      </c>
      <c r="M153" s="1" t="s">
        <v>64</v>
      </c>
      <c r="N153" s="1" t="s">
        <v>582</v>
      </c>
      <c r="O153" s="88">
        <f>24*26</f>
        <v>624</v>
      </c>
      <c r="P153" s="1">
        <v>3.5</v>
      </c>
      <c r="Q153" s="1" t="s">
        <v>189</v>
      </c>
      <c r="R153" s="1" t="s">
        <v>266</v>
      </c>
      <c r="S153" s="1" t="s">
        <v>64</v>
      </c>
      <c r="T153" s="9">
        <v>1</v>
      </c>
      <c r="U153" s="9">
        <f>7/10*100</f>
        <v>70</v>
      </c>
      <c r="V153" s="94">
        <f>AVERAGE(20,10,0,10,0,0,5,0,0,0,0,0,5,0,0,5,0,0,5,5,5,5,2,1,0,0,0,0,0,0)</f>
        <v>2.6</v>
      </c>
      <c r="W153" s="57">
        <v>0</v>
      </c>
      <c r="X153" s="57" t="s">
        <v>64</v>
      </c>
      <c r="Y153" s="104" t="s">
        <v>64</v>
      </c>
      <c r="Z153" s="35">
        <v>0</v>
      </c>
      <c r="AA153" s="37" t="s">
        <v>64</v>
      </c>
      <c r="AB153" s="33" t="s">
        <v>58</v>
      </c>
      <c r="AC153" s="34" t="s">
        <v>64</v>
      </c>
      <c r="AD153" s="34" t="s">
        <v>64</v>
      </c>
      <c r="AE153" s="1" t="s">
        <v>583</v>
      </c>
      <c r="AF153" s="1" t="s">
        <v>73</v>
      </c>
      <c r="AG153" s="1">
        <v>0</v>
      </c>
      <c r="AH153" s="1" t="s">
        <v>584</v>
      </c>
      <c r="AI153" s="1" t="s">
        <v>196</v>
      </c>
      <c r="AJ153" s="9">
        <v>2.6966666666666672</v>
      </c>
      <c r="AK153" s="9">
        <v>0</v>
      </c>
      <c r="AL153" s="9">
        <v>0</v>
      </c>
      <c r="AM153" s="9">
        <v>0</v>
      </c>
      <c r="AN153" s="9">
        <v>0</v>
      </c>
      <c r="AO153" s="117"/>
      <c r="AP153" s="117">
        <v>1</v>
      </c>
      <c r="AQ153" s="117">
        <v>4</v>
      </c>
      <c r="AR153" s="117">
        <v>1</v>
      </c>
      <c r="AS153" s="122">
        <v>5</v>
      </c>
      <c r="AT153" s="117">
        <v>1</v>
      </c>
      <c r="AU153" s="117">
        <f>AVERAGE(1,2,3,1,1,1,1,2,3,2,2,1,1,3,2,2,2,4,1,3)/5*100</f>
        <v>38</v>
      </c>
    </row>
    <row r="154" spans="1:47" ht="43.5">
      <c r="A154" s="1" t="s">
        <v>47</v>
      </c>
      <c r="B154" s="1" t="s">
        <v>144</v>
      </c>
      <c r="C154" s="1" t="s">
        <v>260</v>
      </c>
      <c r="D154" s="1" t="s">
        <v>307</v>
      </c>
      <c r="E154" s="1" t="s">
        <v>372</v>
      </c>
      <c r="F154" s="1" t="s">
        <v>585</v>
      </c>
      <c r="G154" s="1" t="s">
        <v>586</v>
      </c>
      <c r="H154" s="1">
        <v>41</v>
      </c>
      <c r="I154" s="3">
        <v>43075</v>
      </c>
      <c r="J154" s="1">
        <v>-1.504456</v>
      </c>
      <c r="K154" s="1">
        <v>29.774609000000002</v>
      </c>
      <c r="L154" s="1">
        <v>1967</v>
      </c>
      <c r="M154" s="1">
        <v>785676910</v>
      </c>
      <c r="N154" s="1" t="s">
        <v>587</v>
      </c>
      <c r="O154" s="88">
        <f>8*14</f>
        <v>112</v>
      </c>
      <c r="P154" s="1">
        <v>3</v>
      </c>
      <c r="Q154" s="1" t="s">
        <v>189</v>
      </c>
      <c r="R154" s="1" t="s">
        <v>266</v>
      </c>
      <c r="S154" s="1" t="s">
        <v>588</v>
      </c>
      <c r="T154" s="9">
        <v>0</v>
      </c>
      <c r="U154" s="9" t="s">
        <v>64</v>
      </c>
      <c r="V154" s="94" t="s">
        <v>64</v>
      </c>
      <c r="W154" s="54">
        <v>0</v>
      </c>
      <c r="X154" s="54" t="s">
        <v>64</v>
      </c>
      <c r="Y154" s="103" t="s">
        <v>64</v>
      </c>
      <c r="Z154" s="35">
        <v>0</v>
      </c>
      <c r="AA154" s="37" t="s">
        <v>64</v>
      </c>
      <c r="AB154" s="33" t="s">
        <v>58</v>
      </c>
      <c r="AC154" s="34" t="s">
        <v>64</v>
      </c>
      <c r="AD154" s="34" t="s">
        <v>64</v>
      </c>
      <c r="AE154" s="1" t="s">
        <v>589</v>
      </c>
      <c r="AF154" s="1" t="s">
        <v>73</v>
      </c>
      <c r="AG154" s="1">
        <v>0</v>
      </c>
      <c r="AH154" s="1" t="s">
        <v>590</v>
      </c>
      <c r="AI154" s="1" t="s">
        <v>64</v>
      </c>
      <c r="AJ154" s="9">
        <v>2.34375</v>
      </c>
      <c r="AK154" s="9">
        <v>0</v>
      </c>
      <c r="AL154" s="9">
        <v>0</v>
      </c>
      <c r="AM154" s="9">
        <v>0</v>
      </c>
      <c r="AN154" s="9">
        <v>0</v>
      </c>
      <c r="AO154" s="117"/>
      <c r="AP154" s="117">
        <v>1</v>
      </c>
      <c r="AQ154" s="117">
        <v>3</v>
      </c>
      <c r="AR154" s="117">
        <v>1</v>
      </c>
      <c r="AS154" s="122">
        <v>4</v>
      </c>
      <c r="AT154" s="117">
        <v>1</v>
      </c>
      <c r="AU154" s="117">
        <f>AVERAGE(1,2,2,2,3,2,1,2,1,2,2,1,2,1,2,1)/5*100</f>
        <v>33.75</v>
      </c>
    </row>
    <row r="155" spans="1:47" ht="29.1">
      <c r="A155" s="1" t="s">
        <v>47</v>
      </c>
      <c r="B155" s="1" t="s">
        <v>144</v>
      </c>
      <c r="C155" s="1" t="s">
        <v>260</v>
      </c>
      <c r="D155" s="1" t="s">
        <v>540</v>
      </c>
      <c r="E155" s="1" t="s">
        <v>591</v>
      </c>
      <c r="F155" s="1" t="s">
        <v>592</v>
      </c>
      <c r="G155" s="1" t="s">
        <v>593</v>
      </c>
      <c r="H155" s="1">
        <v>54</v>
      </c>
      <c r="I155" s="3">
        <v>43076</v>
      </c>
      <c r="J155" s="1">
        <v>-1.6636420000000001</v>
      </c>
      <c r="K155" s="1">
        <v>29.694295</v>
      </c>
      <c r="L155" s="1">
        <v>1975</v>
      </c>
      <c r="M155" s="1" t="s">
        <v>64</v>
      </c>
      <c r="N155" s="1" t="s">
        <v>594</v>
      </c>
      <c r="O155" s="88">
        <f>15*40</f>
        <v>600</v>
      </c>
      <c r="P155" s="1">
        <v>3.5</v>
      </c>
      <c r="Q155" s="1" t="s">
        <v>189</v>
      </c>
      <c r="R155" s="1" t="s">
        <v>266</v>
      </c>
      <c r="S155" s="1" t="s">
        <v>551</v>
      </c>
      <c r="T155" s="9">
        <v>0</v>
      </c>
      <c r="U155" s="9" t="s">
        <v>64</v>
      </c>
      <c r="V155" s="94" t="s">
        <v>64</v>
      </c>
      <c r="W155" s="54">
        <v>0</v>
      </c>
      <c r="X155" s="54" t="s">
        <v>64</v>
      </c>
      <c r="Y155" s="103" t="s">
        <v>64</v>
      </c>
      <c r="Z155" s="35">
        <v>0</v>
      </c>
      <c r="AA155" s="37" t="s">
        <v>64</v>
      </c>
      <c r="AB155" s="33" t="s">
        <v>58</v>
      </c>
      <c r="AC155" s="34" t="s">
        <v>64</v>
      </c>
      <c r="AD155" s="34" t="s">
        <v>64</v>
      </c>
      <c r="AE155" s="1" t="s">
        <v>595</v>
      </c>
      <c r="AF155" s="1" t="s">
        <v>73</v>
      </c>
      <c r="AG155" s="1">
        <v>0</v>
      </c>
      <c r="AH155" s="1" t="s">
        <v>64</v>
      </c>
      <c r="AI155" s="1" t="s">
        <v>596</v>
      </c>
      <c r="AP155" s="1">
        <v>1</v>
      </c>
      <c r="AQ155" s="1">
        <v>4</v>
      </c>
      <c r="AR155" s="1">
        <v>1</v>
      </c>
      <c r="AS155" s="108">
        <v>5</v>
      </c>
      <c r="AT155" s="1">
        <v>1</v>
      </c>
      <c r="AU155" s="1">
        <f>AVERAGE(2,1,3,1,2,2,1,3,4,1,1,2,2,3,1,3,2,1,1,4)/5*100</f>
        <v>40</v>
      </c>
    </row>
    <row r="156" spans="1:47" ht="29.1">
      <c r="A156" s="1" t="s">
        <v>47</v>
      </c>
      <c r="B156" s="1" t="s">
        <v>144</v>
      </c>
      <c r="C156" s="1" t="s">
        <v>260</v>
      </c>
      <c r="D156" s="1" t="s">
        <v>307</v>
      </c>
      <c r="E156" s="1" t="s">
        <v>336</v>
      </c>
      <c r="F156" s="1" t="s">
        <v>597</v>
      </c>
      <c r="G156" s="1" t="s">
        <v>337</v>
      </c>
      <c r="H156" s="1">
        <v>13</v>
      </c>
      <c r="I156" s="3">
        <v>43067</v>
      </c>
      <c r="J156" s="1">
        <v>-1.4443349999999999</v>
      </c>
      <c r="K156" s="1">
        <v>29.706119000000001</v>
      </c>
      <c r="L156" s="1">
        <v>1994</v>
      </c>
      <c r="M156" s="1">
        <v>0</v>
      </c>
      <c r="N156" s="1" t="s">
        <v>598</v>
      </c>
      <c r="O156" s="88">
        <f>6*10</f>
        <v>60</v>
      </c>
      <c r="P156" s="1">
        <v>2.5</v>
      </c>
      <c r="Q156" s="1" t="s">
        <v>150</v>
      </c>
      <c r="R156" s="1" t="s">
        <v>266</v>
      </c>
      <c r="S156" s="1" t="s">
        <v>64</v>
      </c>
      <c r="T156" s="9">
        <v>0</v>
      </c>
      <c r="U156" s="9" t="s">
        <v>64</v>
      </c>
      <c r="V156" s="94" t="s">
        <v>64</v>
      </c>
      <c r="W156" s="57">
        <v>1</v>
      </c>
      <c r="X156" s="57">
        <f>2/10*100</f>
        <v>20</v>
      </c>
      <c r="Y156" s="104">
        <f>AVERAGE(3,1,0,0,0,0,0,0,0,0)</f>
        <v>0.4</v>
      </c>
      <c r="Z156" s="35">
        <v>0</v>
      </c>
      <c r="AA156" s="37" t="s">
        <v>64</v>
      </c>
      <c r="AB156" s="33" t="s">
        <v>58</v>
      </c>
      <c r="AC156" s="34" t="s">
        <v>64</v>
      </c>
      <c r="AD156" s="34" t="s">
        <v>64</v>
      </c>
      <c r="AE156" s="1" t="s">
        <v>315</v>
      </c>
      <c r="AF156" s="1" t="s">
        <v>73</v>
      </c>
      <c r="AG156" s="1">
        <v>0</v>
      </c>
      <c r="AH156" s="1" t="s">
        <v>599</v>
      </c>
      <c r="AI156" s="1" t="s">
        <v>403</v>
      </c>
      <c r="AJ156" s="9">
        <v>1.08</v>
      </c>
      <c r="AK156" s="9">
        <v>0</v>
      </c>
      <c r="AL156" s="9">
        <v>0</v>
      </c>
      <c r="AM156" s="9">
        <v>0</v>
      </c>
      <c r="AN156" s="9">
        <v>0</v>
      </c>
      <c r="AP156" s="1">
        <v>1</v>
      </c>
      <c r="AQ156" s="1">
        <v>4</v>
      </c>
      <c r="AR156" s="1">
        <v>1</v>
      </c>
      <c r="AS156" s="108">
        <v>4</v>
      </c>
      <c r="AT156" s="1">
        <v>1</v>
      </c>
      <c r="AU156" s="1">
        <f>AVERAGE(2,1,1,2,2,,1,1,1,1,1,1,2,1,2,1,1,1,1,2)/5*100</f>
        <v>25</v>
      </c>
    </row>
    <row r="157" spans="1:47" ht="29.1">
      <c r="A157" s="1" t="s">
        <v>47</v>
      </c>
      <c r="B157" s="1" t="s">
        <v>144</v>
      </c>
      <c r="C157" s="1" t="s">
        <v>260</v>
      </c>
      <c r="D157" s="1" t="s">
        <v>307</v>
      </c>
      <c r="E157" s="1" t="s">
        <v>600</v>
      </c>
      <c r="F157" s="1" t="s">
        <v>601</v>
      </c>
      <c r="G157" s="1" t="s">
        <v>602</v>
      </c>
      <c r="H157" s="1">
        <v>45</v>
      </c>
      <c r="I157" s="3">
        <v>43075</v>
      </c>
      <c r="J157" s="1">
        <v>-1.4940279999999999</v>
      </c>
      <c r="K157" s="1">
        <v>29.837402000000001</v>
      </c>
      <c r="L157" s="1">
        <v>2015</v>
      </c>
      <c r="M157" s="1">
        <v>786856868</v>
      </c>
      <c r="N157" s="1" t="s">
        <v>603</v>
      </c>
      <c r="O157" s="88">
        <f>12*14</f>
        <v>168</v>
      </c>
      <c r="P157" s="1">
        <v>3.5</v>
      </c>
      <c r="Q157" s="1" t="s">
        <v>128</v>
      </c>
      <c r="R157" s="1" t="s">
        <v>266</v>
      </c>
      <c r="S157" s="1" t="s">
        <v>452</v>
      </c>
      <c r="T157" s="9">
        <v>1</v>
      </c>
      <c r="U157" s="9">
        <f>7/10*100</f>
        <v>70</v>
      </c>
      <c r="V157" s="94">
        <f>AVERAGE(20,0,0,10,5,0,25,10,0,5,0,0,10,0,0,0,0,0,0,0,0,5,5,0,0,0,0)</f>
        <v>3.5185185185185186</v>
      </c>
      <c r="W157" s="57">
        <v>1</v>
      </c>
      <c r="X157" s="57">
        <f>2/10*100</f>
        <v>20</v>
      </c>
      <c r="Y157" s="104">
        <f>AVERAGE(1,1,0,0,0,0,0,0,0,0)</f>
        <v>0.2</v>
      </c>
      <c r="Z157" s="6">
        <v>0</v>
      </c>
      <c r="AA157" s="12" t="s">
        <v>64</v>
      </c>
      <c r="AB157" s="33" t="s">
        <v>58</v>
      </c>
      <c r="AC157" s="34" t="s">
        <v>64</v>
      </c>
      <c r="AD157" s="34" t="s">
        <v>64</v>
      </c>
      <c r="AE157" s="1" t="s">
        <v>604</v>
      </c>
      <c r="AF157" s="1" t="s">
        <v>73</v>
      </c>
      <c r="AG157" s="1">
        <v>2</v>
      </c>
      <c r="AH157" s="1" t="s">
        <v>64</v>
      </c>
      <c r="AI157" s="1" t="s">
        <v>605</v>
      </c>
      <c r="AJ157" s="9">
        <v>1.62</v>
      </c>
      <c r="AK157" s="9">
        <v>0</v>
      </c>
      <c r="AL157" s="9">
        <v>0</v>
      </c>
      <c r="AM157" s="9">
        <v>0</v>
      </c>
      <c r="AN157" s="9">
        <v>0</v>
      </c>
      <c r="AP157" s="1">
        <v>1</v>
      </c>
      <c r="AQ157" s="1">
        <v>5</v>
      </c>
      <c r="AR157" s="1">
        <v>1</v>
      </c>
      <c r="AS157" s="108">
        <v>5</v>
      </c>
      <c r="AT157" s="1">
        <v>1</v>
      </c>
      <c r="AU157" s="1">
        <f>AVERAGE(2,2,2,2,1,2,2,1,1,1,2,1,1,2,1,2,2,1,2,2)/5*100</f>
        <v>32</v>
      </c>
    </row>
    <row r="158" spans="1:47" ht="29.1">
      <c r="A158" s="1" t="s">
        <v>47</v>
      </c>
      <c r="B158" s="1" t="s">
        <v>144</v>
      </c>
      <c r="C158" s="1" t="s">
        <v>260</v>
      </c>
      <c r="D158" s="1" t="s">
        <v>307</v>
      </c>
      <c r="E158" s="1" t="s">
        <v>316</v>
      </c>
      <c r="F158" s="1" t="s">
        <v>358</v>
      </c>
      <c r="G158" s="1" t="s">
        <v>359</v>
      </c>
      <c r="H158" s="1">
        <v>48</v>
      </c>
      <c r="I158" s="3">
        <v>43075</v>
      </c>
      <c r="J158" s="1">
        <v>-1.404695</v>
      </c>
      <c r="K158" s="1">
        <v>29.800530999999999</v>
      </c>
      <c r="L158" s="1">
        <v>2016</v>
      </c>
      <c r="M158" s="1" t="s">
        <v>64</v>
      </c>
      <c r="N158" s="1" t="s">
        <v>606</v>
      </c>
      <c r="O158" s="88">
        <f>25*40</f>
        <v>1000</v>
      </c>
      <c r="P158" s="1">
        <v>3</v>
      </c>
      <c r="Q158" s="1" t="s">
        <v>189</v>
      </c>
      <c r="R158" s="1" t="s">
        <v>266</v>
      </c>
      <c r="S158" s="1" t="s">
        <v>345</v>
      </c>
      <c r="T158" s="9">
        <v>1</v>
      </c>
      <c r="U158" s="9">
        <f>1/10*100</f>
        <v>10</v>
      </c>
      <c r="V158" s="94">
        <f>AVERAGE(2,0,0,0,0,0,0,0,0,0,0,0,0,0,0,0,0,0,0,0,0,0,0,0,0,0,0,0,0,0)</f>
        <v>6.6666666666666666E-2</v>
      </c>
      <c r="W158" s="54">
        <v>0</v>
      </c>
      <c r="X158" s="54" t="s">
        <v>64</v>
      </c>
      <c r="Y158" s="103" t="s">
        <v>64</v>
      </c>
      <c r="Z158" s="35">
        <v>0</v>
      </c>
      <c r="AA158" s="37" t="s">
        <v>64</v>
      </c>
      <c r="AB158" s="33" t="s">
        <v>58</v>
      </c>
      <c r="AC158" s="34" t="s">
        <v>64</v>
      </c>
      <c r="AD158" s="34" t="s">
        <v>64</v>
      </c>
      <c r="AE158" s="1" t="s">
        <v>155</v>
      </c>
      <c r="AF158" s="1" t="s">
        <v>73</v>
      </c>
      <c r="AG158" s="1">
        <v>0</v>
      </c>
      <c r="AH158" s="1" t="s">
        <v>61</v>
      </c>
      <c r="AI158" s="1" t="s">
        <v>61</v>
      </c>
      <c r="AJ158" s="9">
        <v>1.88</v>
      </c>
      <c r="AK158" s="9">
        <v>0</v>
      </c>
      <c r="AL158" s="9">
        <v>0</v>
      </c>
      <c r="AM158" s="9">
        <v>0</v>
      </c>
      <c r="AN158" s="9">
        <v>0</v>
      </c>
      <c r="AP158" s="1">
        <v>1</v>
      </c>
      <c r="AQ158" s="1">
        <v>5</v>
      </c>
      <c r="AR158" s="1">
        <v>1</v>
      </c>
      <c r="AS158" s="108">
        <v>4</v>
      </c>
      <c r="AT158" s="1">
        <v>1</v>
      </c>
      <c r="AU158" s="1">
        <f>AVERAGE(2,2,2,3,2,1,3,1,2,2,3,4,2,1,1,2,4,2,1,1)/5*100</f>
        <v>41</v>
      </c>
    </row>
    <row r="159" spans="1:47" ht="29.1">
      <c r="A159" s="1" t="s">
        <v>47</v>
      </c>
      <c r="B159" s="1" t="s">
        <v>144</v>
      </c>
      <c r="C159" s="1" t="s">
        <v>260</v>
      </c>
      <c r="D159" s="1" t="s">
        <v>307</v>
      </c>
      <c r="E159" s="1" t="s">
        <v>375</v>
      </c>
      <c r="F159" s="1" t="s">
        <v>64</v>
      </c>
      <c r="G159" s="1" t="s">
        <v>64</v>
      </c>
      <c r="H159" s="1">
        <v>15</v>
      </c>
      <c r="I159" s="3">
        <v>43067</v>
      </c>
      <c r="J159" s="1">
        <v>-1.3875</v>
      </c>
      <c r="K159" s="1">
        <v>29.740281</v>
      </c>
      <c r="L159" s="1">
        <v>2021</v>
      </c>
      <c r="M159" s="1" t="s">
        <v>64</v>
      </c>
      <c r="N159" s="1" t="s">
        <v>607</v>
      </c>
      <c r="O159" s="88">
        <f>30*45</f>
        <v>1350</v>
      </c>
      <c r="P159" s="1">
        <v>3</v>
      </c>
      <c r="Q159" s="1" t="s">
        <v>128</v>
      </c>
      <c r="R159" s="1" t="s">
        <v>266</v>
      </c>
      <c r="S159" s="1" t="s">
        <v>340</v>
      </c>
      <c r="T159" s="9">
        <v>0</v>
      </c>
      <c r="U159" s="9" t="s">
        <v>64</v>
      </c>
      <c r="V159" s="94" t="s">
        <v>64</v>
      </c>
      <c r="W159" s="57">
        <v>1</v>
      </c>
      <c r="X159" s="57">
        <f>2/10*100</f>
        <v>20</v>
      </c>
      <c r="Y159" s="104">
        <f>AVERAGE(16,22,0,0,0,0,0,0,0,0)</f>
        <v>3.8</v>
      </c>
      <c r="Z159" s="6">
        <v>0</v>
      </c>
      <c r="AA159" s="12" t="s">
        <v>64</v>
      </c>
      <c r="AB159" s="10" t="s">
        <v>84</v>
      </c>
      <c r="AC159" s="11">
        <f>1/10*100</f>
        <v>10</v>
      </c>
      <c r="AD159" s="9">
        <f>AVERAGE(1,0,0,0,0,0,0,0,0,0)</f>
        <v>0.1</v>
      </c>
      <c r="AE159" s="1" t="s">
        <v>608</v>
      </c>
      <c r="AF159" s="1" t="s">
        <v>160</v>
      </c>
      <c r="AG159" s="1">
        <v>1</v>
      </c>
      <c r="AH159" s="1" t="s">
        <v>609</v>
      </c>
      <c r="AI159" s="1" t="s">
        <v>397</v>
      </c>
      <c r="AP159" s="1">
        <v>1</v>
      </c>
      <c r="AQ159" s="1">
        <v>4</v>
      </c>
      <c r="AR159" s="1">
        <v>1</v>
      </c>
      <c r="AS159" s="108">
        <v>4</v>
      </c>
      <c r="AT159" s="1">
        <v>1</v>
      </c>
      <c r="AU159" s="1">
        <f>AVERAGE(2,2,1,1,1,3,4,1,1,1,1,1,1,2,2,1,1,2,2,3)/5*100</f>
        <v>32.999999999999993</v>
      </c>
    </row>
    <row r="160" spans="1:47" ht="29.1">
      <c r="A160" s="1" t="s">
        <v>47</v>
      </c>
      <c r="B160" s="1" t="s">
        <v>144</v>
      </c>
      <c r="C160" s="1" t="s">
        <v>260</v>
      </c>
      <c r="D160" s="1" t="s">
        <v>307</v>
      </c>
      <c r="E160" s="1" t="s">
        <v>347</v>
      </c>
      <c r="F160" s="1" t="s">
        <v>429</v>
      </c>
      <c r="G160" s="1" t="s">
        <v>348</v>
      </c>
      <c r="H160" s="1">
        <v>44</v>
      </c>
      <c r="I160" s="3">
        <v>43075</v>
      </c>
      <c r="J160" s="1">
        <v>-1.4921409999999999</v>
      </c>
      <c r="K160" s="1">
        <v>29.809138999999998</v>
      </c>
      <c r="L160" s="1">
        <v>2034</v>
      </c>
      <c r="M160" s="1">
        <v>788699960</v>
      </c>
      <c r="N160" s="1" t="s">
        <v>610</v>
      </c>
      <c r="O160" s="88" t="s">
        <v>64</v>
      </c>
      <c r="P160" s="1">
        <v>3</v>
      </c>
      <c r="Q160" s="1" t="s">
        <v>189</v>
      </c>
      <c r="R160" s="1" t="s">
        <v>266</v>
      </c>
      <c r="S160" s="1" t="s">
        <v>64</v>
      </c>
      <c r="T160" s="9">
        <v>0</v>
      </c>
      <c r="U160" s="9" t="s">
        <v>64</v>
      </c>
      <c r="V160" s="94" t="s">
        <v>64</v>
      </c>
      <c r="W160" s="57">
        <v>0</v>
      </c>
      <c r="X160" s="57" t="s">
        <v>64</v>
      </c>
      <c r="Y160" s="104" t="s">
        <v>64</v>
      </c>
      <c r="Z160" s="6">
        <v>0</v>
      </c>
      <c r="AA160" s="12" t="s">
        <v>64</v>
      </c>
      <c r="AB160" s="33" t="s">
        <v>58</v>
      </c>
      <c r="AC160" s="34" t="s">
        <v>64</v>
      </c>
      <c r="AD160" s="34" t="s">
        <v>64</v>
      </c>
      <c r="AE160" s="1" t="s">
        <v>611</v>
      </c>
      <c r="AF160" s="1" t="s">
        <v>73</v>
      </c>
      <c r="AG160" s="1">
        <v>1</v>
      </c>
      <c r="AH160" s="1" t="s">
        <v>64</v>
      </c>
      <c r="AI160" s="1" t="s">
        <v>64</v>
      </c>
      <c r="AJ160" s="9">
        <v>1.72</v>
      </c>
      <c r="AK160" s="9">
        <v>0</v>
      </c>
      <c r="AL160" s="9">
        <v>0</v>
      </c>
      <c r="AM160" s="9">
        <v>0</v>
      </c>
      <c r="AN160" s="9">
        <v>0</v>
      </c>
      <c r="AP160" s="1">
        <v>1</v>
      </c>
      <c r="AQ160" s="1">
        <v>5</v>
      </c>
      <c r="AR160" s="1">
        <v>1</v>
      </c>
      <c r="AS160" s="108">
        <v>5</v>
      </c>
      <c r="AT160" s="1">
        <v>1</v>
      </c>
      <c r="AU160" s="1">
        <f>AVERAGE(2,1,1,1,2,1,1,2,1,2,2,2,3,2,2,1,2,1,2,3)/5*100</f>
        <v>34</v>
      </c>
    </row>
    <row r="161" spans="1:47" ht="29.1">
      <c r="A161" s="1" t="s">
        <v>47</v>
      </c>
      <c r="B161" s="1" t="s">
        <v>144</v>
      </c>
      <c r="C161" s="1" t="s">
        <v>260</v>
      </c>
      <c r="D161" s="1" t="s">
        <v>261</v>
      </c>
      <c r="E161" s="1" t="s">
        <v>351</v>
      </c>
      <c r="F161" s="1" t="s">
        <v>324</v>
      </c>
      <c r="G161" s="1" t="s">
        <v>612</v>
      </c>
      <c r="H161" s="1">
        <v>6</v>
      </c>
      <c r="I161" s="3">
        <v>43066</v>
      </c>
      <c r="J161" s="1">
        <v>-1.4623969999999999</v>
      </c>
      <c r="K161" s="1">
        <v>29.614224</v>
      </c>
      <c r="L161" s="1">
        <v>2036</v>
      </c>
      <c r="M161" s="1">
        <v>788762418</v>
      </c>
      <c r="N161" s="1" t="s">
        <v>613</v>
      </c>
      <c r="O161" s="88">
        <f>7*27</f>
        <v>189</v>
      </c>
      <c r="P161" s="1">
        <v>3</v>
      </c>
      <c r="Q161" s="1" t="s">
        <v>189</v>
      </c>
      <c r="R161" s="1" t="s">
        <v>266</v>
      </c>
      <c r="S161" s="1" t="s">
        <v>345</v>
      </c>
      <c r="T161" s="9">
        <v>1</v>
      </c>
      <c r="U161" s="9">
        <f>1/10*100</f>
        <v>10</v>
      </c>
      <c r="V161" s="94">
        <f>AVERAGE(5,5,0,0,0,0,0,0,0,0,0,0,0,0,0,0,0,0,0,0,0,0,0,0,0,0,0,0,0,0)</f>
        <v>0.33333333333333331</v>
      </c>
      <c r="W161" s="57">
        <v>0</v>
      </c>
      <c r="X161" s="57" t="s">
        <v>64</v>
      </c>
      <c r="Y161" s="104" t="s">
        <v>64</v>
      </c>
      <c r="Z161" s="6">
        <v>0</v>
      </c>
      <c r="AA161" s="12" t="s">
        <v>64</v>
      </c>
      <c r="AB161" s="33" t="s">
        <v>58</v>
      </c>
      <c r="AC161" s="34" t="s">
        <v>64</v>
      </c>
      <c r="AD161" s="34" t="s">
        <v>64</v>
      </c>
      <c r="AE161" s="1" t="s">
        <v>614</v>
      </c>
      <c r="AF161" s="1" t="s">
        <v>160</v>
      </c>
      <c r="AG161" s="1">
        <v>1</v>
      </c>
      <c r="AH161" s="1" t="s">
        <v>61</v>
      </c>
      <c r="AI161" s="1" t="s">
        <v>615</v>
      </c>
      <c r="AJ161" s="9">
        <v>2.04</v>
      </c>
      <c r="AK161" s="9">
        <v>0</v>
      </c>
      <c r="AL161" s="9">
        <v>0</v>
      </c>
      <c r="AM161" s="9">
        <v>0</v>
      </c>
      <c r="AN161" s="9">
        <v>0</v>
      </c>
      <c r="AP161" s="1">
        <v>0</v>
      </c>
      <c r="AQ161" s="1" t="s">
        <v>64</v>
      </c>
      <c r="AR161" s="1">
        <v>0</v>
      </c>
      <c r="AS161" s="108" t="s">
        <v>64</v>
      </c>
      <c r="AT161" s="1">
        <v>1</v>
      </c>
      <c r="AU161" s="1">
        <f>AVERAGE(1,2,2,1,3,4,2,1,1,1,2,1,2,1,1,2,1,2,2,1)/5*100</f>
        <v>32.999999999999993</v>
      </c>
    </row>
    <row r="162" spans="1:47" ht="29.1">
      <c r="A162" s="1" t="s">
        <v>47</v>
      </c>
      <c r="B162" s="1" t="s">
        <v>144</v>
      </c>
      <c r="C162" s="1" t="s">
        <v>260</v>
      </c>
      <c r="D162" s="1" t="s">
        <v>540</v>
      </c>
      <c r="E162" s="1" t="s">
        <v>540</v>
      </c>
      <c r="F162" s="1" t="s">
        <v>616</v>
      </c>
      <c r="G162" s="1" t="s">
        <v>617</v>
      </c>
      <c r="H162" s="1">
        <v>55</v>
      </c>
      <c r="I162" s="3">
        <v>43076</v>
      </c>
      <c r="J162" s="1">
        <v>-1.6736759999999999</v>
      </c>
      <c r="K162" s="1">
        <v>29.757065000000001</v>
      </c>
      <c r="L162" s="1">
        <v>2036</v>
      </c>
      <c r="M162" s="1" t="s">
        <v>64</v>
      </c>
      <c r="N162" s="1" t="s">
        <v>618</v>
      </c>
      <c r="O162" s="88" t="s">
        <v>64</v>
      </c>
      <c r="P162" s="1">
        <v>3</v>
      </c>
      <c r="Q162" s="1" t="s">
        <v>189</v>
      </c>
      <c r="R162" s="1" t="s">
        <v>266</v>
      </c>
      <c r="S162" s="1" t="s">
        <v>64</v>
      </c>
      <c r="T162" s="9">
        <v>0</v>
      </c>
      <c r="U162" s="9" t="s">
        <v>64</v>
      </c>
      <c r="V162" s="94" t="s">
        <v>64</v>
      </c>
      <c r="W162" s="54">
        <v>0</v>
      </c>
      <c r="X162" s="54" t="s">
        <v>64</v>
      </c>
      <c r="Y162" s="103" t="s">
        <v>64</v>
      </c>
      <c r="Z162" s="35">
        <v>0</v>
      </c>
      <c r="AA162" s="37" t="s">
        <v>64</v>
      </c>
      <c r="AB162" s="33" t="s">
        <v>58</v>
      </c>
      <c r="AC162" s="34" t="s">
        <v>64</v>
      </c>
      <c r="AD162" s="34" t="s">
        <v>64</v>
      </c>
      <c r="AE162" s="1" t="s">
        <v>155</v>
      </c>
      <c r="AF162" s="1" t="s">
        <v>73</v>
      </c>
      <c r="AG162" s="1">
        <v>0</v>
      </c>
      <c r="AH162" s="1" t="s">
        <v>64</v>
      </c>
      <c r="AI162" s="1" t="s">
        <v>61</v>
      </c>
      <c r="AP162" s="1">
        <v>1</v>
      </c>
      <c r="AQ162" s="1">
        <v>4</v>
      </c>
      <c r="AR162" s="1">
        <v>1</v>
      </c>
      <c r="AS162" s="108">
        <v>5</v>
      </c>
      <c r="AT162" s="1">
        <v>1</v>
      </c>
      <c r="AU162" s="1">
        <f>AVERAGE(2,1,3,1,2,2,1,3,4,1,1,2,2,3,1,3,2,1,1,1)/5*100</f>
        <v>37</v>
      </c>
    </row>
    <row r="163" spans="1:47" ht="29.1">
      <c r="A163" s="1" t="s">
        <v>47</v>
      </c>
      <c r="B163" s="1" t="s">
        <v>144</v>
      </c>
      <c r="C163" s="1" t="s">
        <v>260</v>
      </c>
      <c r="D163" s="1" t="s">
        <v>307</v>
      </c>
      <c r="E163" s="1" t="s">
        <v>375</v>
      </c>
      <c r="F163" s="1" t="s">
        <v>376</v>
      </c>
      <c r="G163" s="1" t="s">
        <v>377</v>
      </c>
      <c r="H163" s="1">
        <v>16</v>
      </c>
      <c r="I163" s="3">
        <v>43067</v>
      </c>
      <c r="J163" s="1">
        <v>-1.3762099999999999</v>
      </c>
      <c r="K163" s="1">
        <v>29.732329</v>
      </c>
      <c r="L163" s="1">
        <v>2040</v>
      </c>
      <c r="M163" s="1" t="s">
        <v>64</v>
      </c>
      <c r="N163" s="1" t="s">
        <v>619</v>
      </c>
      <c r="O163" s="88">
        <f>7*21</f>
        <v>147</v>
      </c>
      <c r="P163" s="1">
        <v>3</v>
      </c>
      <c r="Q163" s="1" t="s">
        <v>189</v>
      </c>
      <c r="R163" s="1" t="s">
        <v>266</v>
      </c>
      <c r="S163" s="1" t="s">
        <v>620</v>
      </c>
      <c r="T163" s="9">
        <v>0</v>
      </c>
      <c r="U163" s="9" t="s">
        <v>64</v>
      </c>
      <c r="V163" s="94" t="s">
        <v>64</v>
      </c>
      <c r="W163" s="54">
        <v>0</v>
      </c>
      <c r="X163" s="54" t="s">
        <v>64</v>
      </c>
      <c r="Y163" s="103" t="s">
        <v>64</v>
      </c>
      <c r="Z163" s="35">
        <v>0</v>
      </c>
      <c r="AA163" s="37" t="s">
        <v>64</v>
      </c>
      <c r="AB163" s="33" t="s">
        <v>58</v>
      </c>
      <c r="AC163" s="34" t="s">
        <v>64</v>
      </c>
      <c r="AD163" s="34" t="s">
        <v>64</v>
      </c>
      <c r="AE163" s="1" t="s">
        <v>64</v>
      </c>
      <c r="AF163" s="1" t="s">
        <v>621</v>
      </c>
      <c r="AG163" s="1">
        <v>0</v>
      </c>
      <c r="AH163" s="1" t="s">
        <v>64</v>
      </c>
      <c r="AI163" s="1" t="s">
        <v>64</v>
      </c>
      <c r="AJ163" s="9">
        <v>0.92100000000000004</v>
      </c>
      <c r="AK163" s="9">
        <v>0</v>
      </c>
      <c r="AL163" s="9">
        <v>0</v>
      </c>
      <c r="AM163" s="9">
        <v>0</v>
      </c>
      <c r="AN163" s="9">
        <v>0</v>
      </c>
      <c r="AP163" s="1">
        <v>1</v>
      </c>
      <c r="AQ163" s="1">
        <v>4</v>
      </c>
      <c r="AR163" s="1">
        <v>1</v>
      </c>
      <c r="AS163" s="108">
        <v>4</v>
      </c>
      <c r="AT163" s="1">
        <v>1</v>
      </c>
      <c r="AU163" s="1">
        <f>AVERAGE(2,1,1,3,2,1,1,1,4,3,2,1,1,1,3,3,1,1,1,4)/5*100</f>
        <v>37</v>
      </c>
    </row>
    <row r="164" spans="1:47" ht="29.1">
      <c r="A164" s="1" t="s">
        <v>47</v>
      </c>
      <c r="B164" s="1" t="s">
        <v>144</v>
      </c>
      <c r="C164" s="1" t="s">
        <v>260</v>
      </c>
      <c r="D164" s="1" t="s">
        <v>307</v>
      </c>
      <c r="E164" s="1" t="s">
        <v>361</v>
      </c>
      <c r="F164" s="1" t="s">
        <v>362</v>
      </c>
      <c r="G164" s="1" t="s">
        <v>622</v>
      </c>
      <c r="H164" s="1">
        <v>2</v>
      </c>
      <c r="I164" s="3">
        <v>43063</v>
      </c>
      <c r="J164" s="1">
        <v>-1.4130560000000001</v>
      </c>
      <c r="K164" s="1">
        <v>29.843827000000001</v>
      </c>
      <c r="L164" s="1">
        <v>2049</v>
      </c>
      <c r="M164" s="1">
        <v>789107688</v>
      </c>
      <c r="N164" s="1" t="s">
        <v>623</v>
      </c>
      <c r="O164" s="88">
        <f>70*10</f>
        <v>700</v>
      </c>
      <c r="P164" s="1">
        <v>3</v>
      </c>
      <c r="Q164" s="1" t="s">
        <v>189</v>
      </c>
      <c r="R164" s="1" t="s">
        <v>266</v>
      </c>
      <c r="S164" s="1" t="s">
        <v>345</v>
      </c>
      <c r="T164" s="9">
        <v>1</v>
      </c>
      <c r="U164" s="9">
        <v>100</v>
      </c>
      <c r="V164" s="93">
        <f>AVERAGE(8,7,7,6,6,5,5,1,0,1,1,0,5,0,0,1,0,0,5,0,0,1,0,0,30,10,0,6,4,0)</f>
        <v>3.6333333333333333</v>
      </c>
      <c r="W164" s="57">
        <v>1</v>
      </c>
      <c r="X164" s="57">
        <f>6/10*100</f>
        <v>60</v>
      </c>
      <c r="Y164" s="104">
        <f>AVERAGE(0,10,0,0,1,0,15,1,10,1)</f>
        <v>3.8</v>
      </c>
      <c r="Z164" s="35">
        <v>0</v>
      </c>
      <c r="AA164" s="37" t="s">
        <v>64</v>
      </c>
      <c r="AB164" s="33" t="s">
        <v>58</v>
      </c>
      <c r="AC164" s="34" t="s">
        <v>64</v>
      </c>
      <c r="AD164" s="34" t="s">
        <v>64</v>
      </c>
      <c r="AE164" s="1" t="s">
        <v>624</v>
      </c>
      <c r="AF164" s="1" t="s">
        <v>61</v>
      </c>
      <c r="AG164" s="1">
        <v>3</v>
      </c>
      <c r="AH164" s="1" t="s">
        <v>61</v>
      </c>
      <c r="AI164" s="1" t="s">
        <v>625</v>
      </c>
      <c r="AJ164" s="9">
        <v>1.56</v>
      </c>
      <c r="AK164" s="9">
        <v>0</v>
      </c>
      <c r="AL164" s="9">
        <v>0</v>
      </c>
      <c r="AM164" s="9">
        <v>0</v>
      </c>
      <c r="AN164" s="9">
        <v>0</v>
      </c>
      <c r="AP164" s="1">
        <v>1</v>
      </c>
      <c r="AQ164" s="1">
        <v>5</v>
      </c>
      <c r="AR164" s="1">
        <v>1</v>
      </c>
      <c r="AS164" s="108">
        <v>6</v>
      </c>
      <c r="AT164" s="1">
        <v>1</v>
      </c>
      <c r="AU164" s="1">
        <f>AVERAGE(2,2,2,2,2,2,1,2,2,2,1,1,1,3,2,2,1,2,1,1)/5*100</f>
        <v>34</v>
      </c>
    </row>
    <row r="165" spans="1:47" ht="29.1">
      <c r="A165" s="1" t="s">
        <v>47</v>
      </c>
      <c r="B165" s="1" t="s">
        <v>144</v>
      </c>
      <c r="C165" s="1" t="s">
        <v>260</v>
      </c>
      <c r="D165" s="1" t="s">
        <v>307</v>
      </c>
      <c r="E165" s="1" t="s">
        <v>466</v>
      </c>
      <c r="F165" s="1" t="s">
        <v>626</v>
      </c>
      <c r="G165" s="1" t="s">
        <v>627</v>
      </c>
      <c r="H165" s="1">
        <v>14</v>
      </c>
      <c r="I165" s="3">
        <v>43067</v>
      </c>
      <c r="J165" s="1">
        <v>-1.4255329999999999</v>
      </c>
      <c r="K165" s="1">
        <v>29.72081</v>
      </c>
      <c r="L165" s="1">
        <v>2056</v>
      </c>
      <c r="M165" s="1">
        <v>785108801</v>
      </c>
      <c r="N165" s="1" t="s">
        <v>628</v>
      </c>
      <c r="O165" s="88">
        <f>20*20</f>
        <v>400</v>
      </c>
      <c r="P165" s="1">
        <v>2</v>
      </c>
      <c r="Q165" s="1" t="s">
        <v>189</v>
      </c>
      <c r="R165" s="1" t="s">
        <v>266</v>
      </c>
      <c r="S165" s="1" t="s">
        <v>340</v>
      </c>
      <c r="T165" s="9">
        <v>0</v>
      </c>
      <c r="U165" s="9" t="s">
        <v>64</v>
      </c>
      <c r="V165" s="94" t="s">
        <v>64</v>
      </c>
      <c r="W165" s="57">
        <v>1</v>
      </c>
      <c r="X165" s="57">
        <f>1/10*100</f>
        <v>10</v>
      </c>
      <c r="Y165" s="104">
        <f>AVERAGE(2,0,0,0,0,0,0,0,0,0)</f>
        <v>0.2</v>
      </c>
      <c r="Z165" s="6">
        <v>0</v>
      </c>
      <c r="AA165" s="12" t="s">
        <v>64</v>
      </c>
      <c r="AB165" s="33" t="s">
        <v>58</v>
      </c>
      <c r="AC165" s="34" t="s">
        <v>64</v>
      </c>
      <c r="AD165" s="34" t="s">
        <v>64</v>
      </c>
      <c r="AE165" s="1" t="s">
        <v>629</v>
      </c>
      <c r="AF165" s="1" t="s">
        <v>73</v>
      </c>
      <c r="AG165" s="1">
        <v>0</v>
      </c>
      <c r="AH165" s="1" t="s">
        <v>64</v>
      </c>
      <c r="AI165" s="1" t="s">
        <v>630</v>
      </c>
      <c r="AJ165" s="9">
        <v>1.64</v>
      </c>
      <c r="AK165" s="9">
        <v>0</v>
      </c>
      <c r="AL165" s="9">
        <v>0</v>
      </c>
      <c r="AM165" s="9">
        <v>0</v>
      </c>
      <c r="AN165" s="9">
        <v>0</v>
      </c>
      <c r="AP165" s="1">
        <v>1</v>
      </c>
      <c r="AQ165" s="1">
        <v>4</v>
      </c>
      <c r="AR165" s="1">
        <v>0</v>
      </c>
      <c r="AS165" s="108" t="s">
        <v>64</v>
      </c>
      <c r="AT165" s="1">
        <v>1</v>
      </c>
      <c r="AU165" s="1">
        <f>AVERAGE(2,2,2,2,1,3,1,1,2,1,2,1,1,1,2,2,1,2,2,1)/5*100</f>
        <v>32</v>
      </c>
    </row>
    <row r="166" spans="1:47" ht="29.1">
      <c r="A166" s="1" t="s">
        <v>47</v>
      </c>
      <c r="B166" s="1" t="s">
        <v>144</v>
      </c>
      <c r="C166" s="1" t="s">
        <v>260</v>
      </c>
      <c r="D166" s="1" t="s">
        <v>261</v>
      </c>
      <c r="E166" s="1" t="s">
        <v>520</v>
      </c>
      <c r="F166" s="1" t="s">
        <v>631</v>
      </c>
      <c r="G166" s="1" t="s">
        <v>632</v>
      </c>
      <c r="H166" s="1">
        <v>29</v>
      </c>
      <c r="I166" s="3">
        <v>43073</v>
      </c>
      <c r="J166" s="1">
        <v>-1.520743</v>
      </c>
      <c r="K166" s="1">
        <v>29.577345000000001</v>
      </c>
      <c r="L166" s="1">
        <v>2074</v>
      </c>
      <c r="M166" s="1" t="s">
        <v>64</v>
      </c>
      <c r="N166" s="1" t="s">
        <v>633</v>
      </c>
      <c r="O166" s="88">
        <f>18*6</f>
        <v>108</v>
      </c>
      <c r="P166" s="1">
        <v>3</v>
      </c>
      <c r="Q166" s="1" t="s">
        <v>189</v>
      </c>
      <c r="R166" s="1" t="s">
        <v>266</v>
      </c>
      <c r="S166" s="1" t="s">
        <v>64</v>
      </c>
      <c r="T166" s="9">
        <v>0</v>
      </c>
      <c r="U166" s="9" t="s">
        <v>64</v>
      </c>
      <c r="V166" s="94" t="s">
        <v>64</v>
      </c>
      <c r="W166" s="57">
        <v>1</v>
      </c>
      <c r="X166" s="57">
        <f>1/10*100</f>
        <v>10</v>
      </c>
      <c r="Y166" s="104">
        <f>AVERAGE(25,0,0,0,0,0,0,0,0,0)</f>
        <v>2.5</v>
      </c>
      <c r="Z166" s="35">
        <v>0</v>
      </c>
      <c r="AA166" s="37" t="s">
        <v>64</v>
      </c>
      <c r="AB166" s="10" t="s">
        <v>84</v>
      </c>
      <c r="AC166" s="11">
        <f>1/10*100</f>
        <v>10</v>
      </c>
      <c r="AD166" s="9">
        <f>AVERAGE(1,1,0,0,0,0,0,0,0,0)</f>
        <v>0.2</v>
      </c>
      <c r="AE166" s="1" t="s">
        <v>155</v>
      </c>
      <c r="AF166" s="1" t="s">
        <v>73</v>
      </c>
      <c r="AG166" s="1">
        <v>0</v>
      </c>
      <c r="AH166" s="1" t="s">
        <v>61</v>
      </c>
      <c r="AI166" s="1" t="s">
        <v>61</v>
      </c>
      <c r="AJ166" s="9">
        <v>1.6</v>
      </c>
      <c r="AK166" s="9">
        <v>0</v>
      </c>
      <c r="AL166" s="9">
        <v>0</v>
      </c>
      <c r="AM166" s="9">
        <v>0</v>
      </c>
      <c r="AN166" s="9">
        <v>0</v>
      </c>
      <c r="AP166" s="1">
        <v>1</v>
      </c>
      <c r="AQ166" s="1">
        <v>2</v>
      </c>
      <c r="AR166" s="1">
        <v>1</v>
      </c>
      <c r="AS166" s="108">
        <v>4</v>
      </c>
      <c r="AT166" s="1">
        <v>1</v>
      </c>
      <c r="AU166" s="1">
        <f>AVERAGE(1,2,2,1,2,1,1,1,1,3,1,1,2,3,3,1,4,2,1,1)/5*100</f>
        <v>34</v>
      </c>
    </row>
    <row r="167" spans="1:47" ht="29.1">
      <c r="A167" s="1" t="s">
        <v>47</v>
      </c>
      <c r="B167" s="1" t="s">
        <v>144</v>
      </c>
      <c r="C167" s="1" t="s">
        <v>260</v>
      </c>
      <c r="D167" s="1" t="s">
        <v>307</v>
      </c>
      <c r="E167" s="1" t="s">
        <v>371</v>
      </c>
      <c r="F167" s="1" t="s">
        <v>372</v>
      </c>
      <c r="G167" s="1" t="s">
        <v>373</v>
      </c>
      <c r="H167" s="1">
        <v>24</v>
      </c>
      <c r="I167" s="3">
        <v>43068</v>
      </c>
      <c r="J167" s="1">
        <v>-1.5856870000000001</v>
      </c>
      <c r="K167" s="1">
        <v>29.917307000000001</v>
      </c>
      <c r="L167" s="1">
        <v>2077</v>
      </c>
      <c r="M167" s="1">
        <v>787811068</v>
      </c>
      <c r="N167" s="1" t="s">
        <v>634</v>
      </c>
      <c r="O167" s="88">
        <f>20*35</f>
        <v>700</v>
      </c>
      <c r="P167" s="1" t="s">
        <v>64</v>
      </c>
      <c r="Q167" s="1" t="s">
        <v>64</v>
      </c>
      <c r="R167" s="1" t="s">
        <v>635</v>
      </c>
      <c r="S167" s="1" t="s">
        <v>64</v>
      </c>
      <c r="T167" s="9">
        <v>1</v>
      </c>
      <c r="U167" s="9">
        <f>2/10*100</f>
        <v>20</v>
      </c>
      <c r="V167" s="94">
        <f>AVERAGE(10,5,2,0,0,0,0,0,0,0,0,0,0,0,0,0,0,0,0,0,0,0,0,0,0,0,0,0,0,0)</f>
        <v>0.56666666666666665</v>
      </c>
      <c r="W167" s="57">
        <v>1</v>
      </c>
      <c r="X167" s="57">
        <f>1/20*100</f>
        <v>5</v>
      </c>
      <c r="Y167" s="104">
        <f>AVERAGE(2,3,0,0,0,0,0,0,0,0,0,0,0,0,0,0,0,0,0,0)</f>
        <v>0.25</v>
      </c>
      <c r="Z167" s="9">
        <v>1</v>
      </c>
      <c r="AA167" s="9">
        <f>AVERAGE(1,1,1,2,0,0,0,0,0,0)</f>
        <v>0.5</v>
      </c>
      <c r="AB167" s="10" t="s">
        <v>84</v>
      </c>
      <c r="AC167" s="11">
        <f>4/20*100</f>
        <v>20</v>
      </c>
      <c r="AD167" s="9">
        <f>AVERAGE(1,0,0,0,0,0,0,0,0,0)</f>
        <v>0.1</v>
      </c>
      <c r="AE167" s="1" t="s">
        <v>636</v>
      </c>
      <c r="AF167" s="1" t="s">
        <v>61</v>
      </c>
      <c r="AG167" s="1" t="s">
        <v>64</v>
      </c>
      <c r="AH167" s="1" t="s">
        <v>64</v>
      </c>
      <c r="AI167" s="1" t="s">
        <v>637</v>
      </c>
      <c r="AJ167" s="9">
        <v>1.53</v>
      </c>
      <c r="AK167" s="9">
        <v>4</v>
      </c>
      <c r="AL167" s="9">
        <v>9.4E-2</v>
      </c>
      <c r="AM167" s="9">
        <v>0.04</v>
      </c>
      <c r="AN167" s="9">
        <v>5</v>
      </c>
      <c r="AP167" s="1">
        <v>1</v>
      </c>
      <c r="AQ167" s="1">
        <v>3</v>
      </c>
      <c r="AR167" s="1">
        <v>1</v>
      </c>
      <c r="AS167" s="108">
        <v>4</v>
      </c>
      <c r="AT167" s="1">
        <v>1</v>
      </c>
      <c r="AU167" s="1">
        <f>AVERAGE(1,1,4,1,1,2,1,1,1,2,2,1,3,2,1,1,1,2,1,2)/5*100</f>
        <v>31</v>
      </c>
    </row>
    <row r="168" spans="1:47">
      <c r="A168" s="1" t="s">
        <v>47</v>
      </c>
      <c r="B168" s="1" t="s">
        <v>144</v>
      </c>
      <c r="C168" s="1" t="s">
        <v>260</v>
      </c>
      <c r="D168" s="1" t="s">
        <v>307</v>
      </c>
      <c r="E168" s="1" t="s">
        <v>372</v>
      </c>
      <c r="F168" s="1" t="s">
        <v>300</v>
      </c>
      <c r="G168" s="1" t="s">
        <v>300</v>
      </c>
      <c r="H168" s="1">
        <v>43</v>
      </c>
      <c r="I168" s="3">
        <v>43075</v>
      </c>
      <c r="J168" s="1">
        <v>-1.509671</v>
      </c>
      <c r="K168" s="1">
        <v>29.805313999999999</v>
      </c>
      <c r="L168" s="1">
        <v>2114</v>
      </c>
      <c r="M168" s="1" t="s">
        <v>64</v>
      </c>
      <c r="N168" s="1" t="s">
        <v>638</v>
      </c>
      <c r="O168" s="88">
        <f>8*40</f>
        <v>320</v>
      </c>
      <c r="P168" s="1">
        <v>2.5</v>
      </c>
      <c r="Q168" s="1" t="s">
        <v>150</v>
      </c>
      <c r="R168" s="1" t="s">
        <v>266</v>
      </c>
      <c r="S168" s="1" t="s">
        <v>64</v>
      </c>
      <c r="T168" s="9">
        <v>0</v>
      </c>
      <c r="U168" s="9" t="s">
        <v>64</v>
      </c>
      <c r="V168" s="94" t="s">
        <v>64</v>
      </c>
      <c r="W168" s="54">
        <v>0</v>
      </c>
      <c r="X168" s="54" t="s">
        <v>64</v>
      </c>
      <c r="Y168" s="103" t="s">
        <v>64</v>
      </c>
      <c r="Z168" s="35">
        <v>0</v>
      </c>
      <c r="AA168" s="37" t="s">
        <v>64</v>
      </c>
      <c r="AB168" s="10" t="s">
        <v>84</v>
      </c>
      <c r="AC168" s="11">
        <f>3/10*100</f>
        <v>30</v>
      </c>
      <c r="AD168" s="9">
        <v>0.1</v>
      </c>
      <c r="AE168" s="1" t="s">
        <v>64</v>
      </c>
      <c r="AF168" s="1" t="s">
        <v>73</v>
      </c>
      <c r="AG168" s="1">
        <v>0</v>
      </c>
      <c r="AH168" s="1" t="s">
        <v>64</v>
      </c>
      <c r="AI168" s="1" t="s">
        <v>64</v>
      </c>
      <c r="AP168" s="1">
        <v>1</v>
      </c>
      <c r="AQ168" s="1">
        <v>4</v>
      </c>
      <c r="AR168" s="1">
        <v>1</v>
      </c>
      <c r="AS168" s="108">
        <v>4</v>
      </c>
      <c r="AT168" s="1">
        <v>1</v>
      </c>
      <c r="AU168" s="1">
        <f>AVERAGE(2,1,2,1,2,1,2,2,2,1,3,2,1,2,1,1,2,1,1,2)/5*100</f>
        <v>32</v>
      </c>
    </row>
    <row r="169" spans="1:47" ht="43.5">
      <c r="A169" s="1" t="s">
        <v>47</v>
      </c>
      <c r="B169" s="1" t="s">
        <v>144</v>
      </c>
      <c r="C169" s="1" t="s">
        <v>260</v>
      </c>
      <c r="D169" s="1" t="s">
        <v>307</v>
      </c>
      <c r="E169" s="1" t="s">
        <v>361</v>
      </c>
      <c r="F169" s="1" t="s">
        <v>362</v>
      </c>
      <c r="G169" s="1" t="s">
        <v>639</v>
      </c>
      <c r="H169" s="1">
        <v>47</v>
      </c>
      <c r="I169" s="3">
        <v>43075</v>
      </c>
      <c r="J169" s="1">
        <v>-1.4155040000000001</v>
      </c>
      <c r="K169" s="1">
        <v>29.812985000000001</v>
      </c>
      <c r="L169" s="1">
        <v>2143</v>
      </c>
      <c r="M169" s="1">
        <v>788935311</v>
      </c>
      <c r="N169" s="1" t="s">
        <v>640</v>
      </c>
      <c r="O169" s="88">
        <f>20*17</f>
        <v>340</v>
      </c>
      <c r="P169" s="1">
        <v>4</v>
      </c>
      <c r="Q169" s="1" t="s">
        <v>189</v>
      </c>
      <c r="R169" s="1" t="s">
        <v>266</v>
      </c>
      <c r="S169" s="1" t="s">
        <v>641</v>
      </c>
      <c r="T169" s="9">
        <v>0</v>
      </c>
      <c r="U169" s="9" t="s">
        <v>64</v>
      </c>
      <c r="V169" s="94" t="s">
        <v>64</v>
      </c>
      <c r="W169" s="57">
        <v>0</v>
      </c>
      <c r="X169" s="57" t="s">
        <v>64</v>
      </c>
      <c r="Y169" s="104" t="s">
        <v>64</v>
      </c>
      <c r="Z169" s="6">
        <v>0</v>
      </c>
      <c r="AA169" s="12" t="s">
        <v>64</v>
      </c>
      <c r="AB169" s="10" t="s">
        <v>84</v>
      </c>
      <c r="AC169" s="11">
        <f>1/10*100</f>
        <v>10</v>
      </c>
      <c r="AD169" s="9">
        <v>0.1</v>
      </c>
      <c r="AE169" s="1" t="s">
        <v>155</v>
      </c>
      <c r="AF169" s="1" t="s">
        <v>92</v>
      </c>
      <c r="AG169" s="1">
        <v>0</v>
      </c>
      <c r="AH169" s="1" t="s">
        <v>61</v>
      </c>
      <c r="AI169" s="1" t="s">
        <v>61</v>
      </c>
      <c r="AJ169" s="9">
        <v>1.83</v>
      </c>
      <c r="AK169" s="9">
        <v>0</v>
      </c>
      <c r="AL169" s="9">
        <v>0</v>
      </c>
      <c r="AM169" s="9">
        <v>0</v>
      </c>
      <c r="AN169" s="9">
        <v>0</v>
      </c>
      <c r="AP169" s="1">
        <v>1</v>
      </c>
      <c r="AQ169" s="1">
        <v>5</v>
      </c>
      <c r="AR169" s="1">
        <v>1</v>
      </c>
      <c r="AS169" s="108">
        <v>3</v>
      </c>
      <c r="AT169" s="1">
        <v>1</v>
      </c>
      <c r="AU169" s="1">
        <f>AVERAGE(3,1,2,1,3,4,3,1,1,2,1,4,3,2,1,2,3,4,2,1)/5*100</f>
        <v>44.000000000000007</v>
      </c>
    </row>
    <row r="170" spans="1:47" ht="29.1">
      <c r="A170" s="1" t="s">
        <v>47</v>
      </c>
      <c r="B170" s="1" t="s">
        <v>144</v>
      </c>
      <c r="C170" s="1" t="s">
        <v>260</v>
      </c>
      <c r="D170" s="1" t="s">
        <v>261</v>
      </c>
      <c r="E170" s="1" t="s">
        <v>351</v>
      </c>
      <c r="F170" s="1" t="s">
        <v>642</v>
      </c>
      <c r="G170" s="1" t="s">
        <v>643</v>
      </c>
      <c r="H170" s="1">
        <v>9</v>
      </c>
      <c r="I170" s="3">
        <v>43066</v>
      </c>
      <c r="J170" s="1">
        <v>-1.4381710000000001</v>
      </c>
      <c r="K170" s="1">
        <v>29.648982</v>
      </c>
      <c r="L170" s="1">
        <v>2148</v>
      </c>
      <c r="M170" s="1">
        <v>783097626</v>
      </c>
      <c r="N170" s="1" t="s">
        <v>644</v>
      </c>
      <c r="O170" s="88">
        <f>32*37</f>
        <v>1184</v>
      </c>
      <c r="P170" s="1">
        <v>2</v>
      </c>
      <c r="Q170" s="1" t="s">
        <v>150</v>
      </c>
      <c r="R170" s="1" t="s">
        <v>266</v>
      </c>
      <c r="S170" s="1" t="s">
        <v>340</v>
      </c>
      <c r="T170" s="9">
        <v>1</v>
      </c>
      <c r="U170" s="9">
        <f>4/10*100</f>
        <v>40</v>
      </c>
      <c r="V170" s="94">
        <f>AVERAGE(0,0,0,5,0,0,5,0,0,10,0,0,0,0,0,0,0,0,0,0,0,5,0,0,0,0,0,0,0,0)</f>
        <v>0.83333333333333337</v>
      </c>
      <c r="W170" s="57">
        <v>0</v>
      </c>
      <c r="X170" s="57" t="s">
        <v>64</v>
      </c>
      <c r="Y170" s="104" t="s">
        <v>64</v>
      </c>
      <c r="Z170" s="35">
        <v>0</v>
      </c>
      <c r="AA170" s="37" t="s">
        <v>64</v>
      </c>
      <c r="AB170" s="10" t="s">
        <v>84</v>
      </c>
      <c r="AC170" s="11">
        <f>1/10*100</f>
        <v>10</v>
      </c>
      <c r="AD170" s="9">
        <f t="shared" ref="AD170:AD175" si="0">AVERAGE(1,0,0,0,0,0,0,0,0,0)</f>
        <v>0.1</v>
      </c>
      <c r="AE170" s="1" t="s">
        <v>645</v>
      </c>
      <c r="AF170" s="1" t="s">
        <v>160</v>
      </c>
      <c r="AG170" s="1">
        <v>2</v>
      </c>
      <c r="AH170" s="1" t="s">
        <v>61</v>
      </c>
      <c r="AI170" s="1" t="s">
        <v>646</v>
      </c>
      <c r="AJ170" s="9">
        <v>1.56</v>
      </c>
      <c r="AK170" s="9">
        <v>0</v>
      </c>
      <c r="AL170" s="9">
        <v>0</v>
      </c>
      <c r="AM170" s="9">
        <v>0</v>
      </c>
      <c r="AN170" s="9">
        <v>0</v>
      </c>
      <c r="AP170" s="1">
        <v>1</v>
      </c>
      <c r="AQ170" s="1">
        <v>4</v>
      </c>
      <c r="AR170" s="1">
        <v>1</v>
      </c>
      <c r="AS170" s="108">
        <v>5</v>
      </c>
      <c r="AT170" s="1">
        <v>1</v>
      </c>
      <c r="AU170" s="1">
        <f>AVERAGE(2,1,1,2,1,1,1,1,3,1,1,1,2,1,1,1,1,1,1,1)/5*100</f>
        <v>25</v>
      </c>
    </row>
    <row r="171" spans="1:47" ht="29.1">
      <c r="A171" s="1" t="s">
        <v>47</v>
      </c>
      <c r="B171" s="1" t="s">
        <v>144</v>
      </c>
      <c r="C171" s="1" t="s">
        <v>260</v>
      </c>
      <c r="D171" s="1" t="s">
        <v>261</v>
      </c>
      <c r="E171" s="1" t="s">
        <v>404</v>
      </c>
      <c r="F171" s="1" t="s">
        <v>647</v>
      </c>
      <c r="G171" s="1" t="s">
        <v>648</v>
      </c>
      <c r="H171" s="1">
        <v>30</v>
      </c>
      <c r="I171" s="3">
        <v>43073</v>
      </c>
      <c r="J171" s="1">
        <v>-1.5463690000000001</v>
      </c>
      <c r="K171" s="1">
        <v>29.557903</v>
      </c>
      <c r="L171" s="1">
        <v>2175</v>
      </c>
      <c r="M171" s="1">
        <v>783997476</v>
      </c>
      <c r="N171" s="1" t="s">
        <v>649</v>
      </c>
      <c r="O171" s="88">
        <f>20*3</f>
        <v>60</v>
      </c>
      <c r="P171" s="1">
        <v>3</v>
      </c>
      <c r="Q171" s="1" t="s">
        <v>189</v>
      </c>
      <c r="R171" s="1" t="s">
        <v>266</v>
      </c>
      <c r="S171" s="1" t="s">
        <v>64</v>
      </c>
      <c r="T171" s="9">
        <v>1</v>
      </c>
      <c r="U171" s="9">
        <f>7/10*100</f>
        <v>70</v>
      </c>
      <c r="V171" s="94">
        <f>AVERAGE(15,0,0,10,0,0,20,5,0,5,0,0,1,0,0,0,0,0,0,0,0,0,0,0,10,0,0,10,0,0)</f>
        <v>2.5333333333333332</v>
      </c>
      <c r="W171" s="57">
        <v>1</v>
      </c>
      <c r="X171" s="57">
        <f>3/10*100</f>
        <v>30</v>
      </c>
      <c r="Y171" s="104">
        <f>AVERAGE(0,0,0,0,14,0,0,5,0,4)</f>
        <v>2.2999999999999998</v>
      </c>
      <c r="Z171" s="6">
        <v>0</v>
      </c>
      <c r="AA171" s="12" t="s">
        <v>64</v>
      </c>
      <c r="AB171" s="10" t="s">
        <v>84</v>
      </c>
      <c r="AC171" s="11">
        <f>1/10*100</f>
        <v>10</v>
      </c>
      <c r="AD171" s="9">
        <f t="shared" si="0"/>
        <v>0.1</v>
      </c>
      <c r="AE171" s="1" t="s">
        <v>650</v>
      </c>
      <c r="AF171" s="1" t="s">
        <v>73</v>
      </c>
      <c r="AG171" s="1">
        <v>0</v>
      </c>
      <c r="AH171" s="1" t="s">
        <v>61</v>
      </c>
      <c r="AI171" s="1" t="s">
        <v>539</v>
      </c>
      <c r="AJ171" s="9">
        <v>1.78</v>
      </c>
      <c r="AK171" s="9">
        <v>0</v>
      </c>
      <c r="AL171" s="9">
        <v>0</v>
      </c>
      <c r="AM171" s="9">
        <v>0</v>
      </c>
      <c r="AN171" s="9">
        <v>0</v>
      </c>
      <c r="AP171" s="1">
        <v>1</v>
      </c>
      <c r="AQ171" s="1">
        <v>2</v>
      </c>
      <c r="AR171" s="1">
        <v>1</v>
      </c>
      <c r="AS171" s="108">
        <v>4</v>
      </c>
      <c r="AT171" s="1">
        <v>1</v>
      </c>
      <c r="AU171" s="1">
        <f>AVERAGE(1,2,2,1,2,1,1,1,1,3,1,1,2,3,3,1,4,2,1,1)/5*100</f>
        <v>34</v>
      </c>
    </row>
    <row r="172" spans="1:47" ht="29.1">
      <c r="A172" s="1" t="s">
        <v>47</v>
      </c>
      <c r="B172" s="1" t="s">
        <v>144</v>
      </c>
      <c r="C172" s="1" t="s">
        <v>260</v>
      </c>
      <c r="D172" s="1" t="s">
        <v>307</v>
      </c>
      <c r="E172" s="1" t="s">
        <v>336</v>
      </c>
      <c r="F172" s="1" t="s">
        <v>398</v>
      </c>
      <c r="G172" s="1" t="s">
        <v>399</v>
      </c>
      <c r="H172" s="1">
        <v>20</v>
      </c>
      <c r="I172" s="3">
        <v>43067</v>
      </c>
      <c r="J172" s="1">
        <v>-1.4292309999999999</v>
      </c>
      <c r="K172" s="1">
        <v>29.682134999999999</v>
      </c>
      <c r="L172" s="1">
        <v>2177</v>
      </c>
      <c r="M172" s="1">
        <v>784136840</v>
      </c>
      <c r="N172" s="1" t="s">
        <v>651</v>
      </c>
      <c r="O172" s="88">
        <f>20*35</f>
        <v>700</v>
      </c>
      <c r="P172" s="1">
        <v>3</v>
      </c>
      <c r="Q172" s="1" t="s">
        <v>189</v>
      </c>
      <c r="R172" s="1" t="s">
        <v>266</v>
      </c>
      <c r="S172" s="1" t="s">
        <v>340</v>
      </c>
      <c r="T172" s="9">
        <v>1</v>
      </c>
      <c r="U172" s="9">
        <f>5/10*100</f>
        <v>50</v>
      </c>
      <c r="V172" s="94">
        <f>AVERAGE(1,5,2,1,5,0,0,0,0,0,0,0,0,0,0,0,0,0,0,0,0,0,0,0,0,0,0,0,0,0)</f>
        <v>0.46666666666666667</v>
      </c>
      <c r="W172" s="57">
        <v>1</v>
      </c>
      <c r="X172" s="57">
        <f>2/10*100</f>
        <v>20</v>
      </c>
      <c r="Y172" s="104">
        <f>AVERAGE(5,3,0,0,0,0,0,0,0,0)</f>
        <v>0.8</v>
      </c>
      <c r="Z172" s="9">
        <v>1</v>
      </c>
      <c r="AA172" s="9">
        <f>AVERAGE(10,6,4,0,0,0,0,0,0,0)</f>
        <v>2</v>
      </c>
      <c r="AB172" s="10" t="s">
        <v>84</v>
      </c>
      <c r="AC172" s="11">
        <f>2/20*100</f>
        <v>10</v>
      </c>
      <c r="AD172" s="9">
        <f t="shared" si="0"/>
        <v>0.1</v>
      </c>
      <c r="AE172" s="1" t="s">
        <v>652</v>
      </c>
      <c r="AF172" s="1" t="s">
        <v>61</v>
      </c>
      <c r="AG172" s="1">
        <v>1</v>
      </c>
      <c r="AH172" s="1" t="s">
        <v>584</v>
      </c>
      <c r="AI172" s="1" t="s">
        <v>482</v>
      </c>
      <c r="AJ172" s="9">
        <v>1.97</v>
      </c>
      <c r="AK172" s="9">
        <v>0</v>
      </c>
      <c r="AL172" s="9">
        <v>0</v>
      </c>
      <c r="AM172" s="9">
        <v>0</v>
      </c>
      <c r="AN172" s="9">
        <v>0</v>
      </c>
      <c r="AP172" s="1">
        <v>1</v>
      </c>
      <c r="AQ172" s="1">
        <v>4</v>
      </c>
      <c r="AR172" s="1">
        <v>1</v>
      </c>
      <c r="AS172" s="108">
        <v>3</v>
      </c>
      <c r="AT172" s="1">
        <v>1</v>
      </c>
      <c r="AU172" s="1">
        <f>AVERAGE(2,2,2,1,3,3,2,1,2,1,2,1,1,2,1,1,2,2,1,3)/5*100</f>
        <v>35</v>
      </c>
    </row>
    <row r="173" spans="1:47" ht="29.1">
      <c r="A173" s="1" t="s">
        <v>47</v>
      </c>
      <c r="B173" s="1" t="s">
        <v>144</v>
      </c>
      <c r="C173" s="1" t="s">
        <v>260</v>
      </c>
      <c r="D173" s="1" t="s">
        <v>307</v>
      </c>
      <c r="E173" s="1" t="s">
        <v>371</v>
      </c>
      <c r="F173" s="1" t="s">
        <v>372</v>
      </c>
      <c r="G173" s="1" t="s">
        <v>653</v>
      </c>
      <c r="H173" s="1">
        <v>23</v>
      </c>
      <c r="I173" s="3">
        <v>43068</v>
      </c>
      <c r="J173" s="1">
        <v>-1.578713</v>
      </c>
      <c r="K173" s="1">
        <v>29.931414</v>
      </c>
      <c r="L173" s="1">
        <v>2195</v>
      </c>
      <c r="M173" s="1">
        <v>728289381</v>
      </c>
      <c r="N173" s="1" t="s">
        <v>654</v>
      </c>
      <c r="O173" s="88">
        <f>10*25</f>
        <v>250</v>
      </c>
      <c r="P173" s="1" t="s">
        <v>64</v>
      </c>
      <c r="Q173" s="1" t="s">
        <v>64</v>
      </c>
      <c r="R173" s="1" t="s">
        <v>635</v>
      </c>
      <c r="S173" s="1" t="s">
        <v>655</v>
      </c>
      <c r="T173" s="9">
        <v>1</v>
      </c>
      <c r="U173" s="9">
        <f>2/10*100</f>
        <v>20</v>
      </c>
      <c r="V173" s="94">
        <f>AVERAGE(10,5,0,0,0,0,0,0,0,0,0,0,0,0,0,0,0,0,0,0,0,0,0,0,0,0,0,0,0,0)</f>
        <v>0.5</v>
      </c>
      <c r="W173" s="57">
        <v>1</v>
      </c>
      <c r="X173" s="57">
        <f>3/20*100</f>
        <v>15</v>
      </c>
      <c r="Y173" s="104">
        <f>AVERAGE(5,3,2,0,0,0,0,0,0,0,0,0,0,0,0,0,0,0,0)</f>
        <v>0.52631578947368418</v>
      </c>
      <c r="Z173" s="9">
        <v>1</v>
      </c>
      <c r="AA173" s="9">
        <f>AVERAGE(1,2,3,0,0,0,0,0,0,0)</f>
        <v>0.6</v>
      </c>
      <c r="AB173" s="10" t="s">
        <v>84</v>
      </c>
      <c r="AC173" s="11">
        <f>8/20*100</f>
        <v>40</v>
      </c>
      <c r="AD173" s="9">
        <f t="shared" si="0"/>
        <v>0.1</v>
      </c>
      <c r="AE173" s="1" t="s">
        <v>656</v>
      </c>
      <c r="AF173" s="1" t="s">
        <v>621</v>
      </c>
      <c r="AG173" s="1" t="s">
        <v>64</v>
      </c>
      <c r="AH173" s="1" t="s">
        <v>64</v>
      </c>
      <c r="AI173" s="1" t="s">
        <v>657</v>
      </c>
      <c r="AJ173" s="9">
        <v>1.37</v>
      </c>
      <c r="AK173" s="9">
        <v>3</v>
      </c>
      <c r="AL173" s="9">
        <v>0.44</v>
      </c>
      <c r="AM173" s="9">
        <v>0.03</v>
      </c>
      <c r="AN173" s="9">
        <v>4</v>
      </c>
      <c r="AP173" s="1">
        <v>1</v>
      </c>
      <c r="AQ173" s="1">
        <v>4</v>
      </c>
      <c r="AR173" s="1">
        <v>1</v>
      </c>
      <c r="AS173" s="108">
        <v>4</v>
      </c>
      <c r="AT173" s="1">
        <v>1</v>
      </c>
      <c r="AU173" s="1">
        <f>AVERAGE(2,2,1,1,1,1,3,1,1,2,2,3,1,2,2,1,2,1,2,1)/5*100</f>
        <v>32</v>
      </c>
    </row>
    <row r="174" spans="1:47" ht="29.1">
      <c r="A174" s="1" t="s">
        <v>47</v>
      </c>
      <c r="B174" s="1" t="s">
        <v>144</v>
      </c>
      <c r="C174" s="1" t="s">
        <v>260</v>
      </c>
      <c r="D174" s="1" t="s">
        <v>307</v>
      </c>
      <c r="E174" s="1" t="s">
        <v>375</v>
      </c>
      <c r="F174" s="1" t="s">
        <v>658</v>
      </c>
      <c r="G174" s="1" t="s">
        <v>659</v>
      </c>
      <c r="H174" s="1">
        <v>17</v>
      </c>
      <c r="I174" s="3">
        <v>43067</v>
      </c>
      <c r="J174" s="1">
        <v>-1.3721460000000001</v>
      </c>
      <c r="K174" s="1">
        <v>29.719441</v>
      </c>
      <c r="L174" s="1">
        <v>2200</v>
      </c>
      <c r="M174" s="1" t="s">
        <v>64</v>
      </c>
      <c r="N174" s="1" t="s">
        <v>660</v>
      </c>
      <c r="O174" s="88">
        <f>30*40</f>
        <v>1200</v>
      </c>
      <c r="P174" s="1">
        <v>3</v>
      </c>
      <c r="Q174" s="1" t="s">
        <v>189</v>
      </c>
      <c r="R174" s="1" t="s">
        <v>266</v>
      </c>
      <c r="S174" s="1" t="s">
        <v>290</v>
      </c>
      <c r="T174" s="9">
        <v>0</v>
      </c>
      <c r="U174" s="9" t="s">
        <v>64</v>
      </c>
      <c r="V174" s="94" t="s">
        <v>64</v>
      </c>
      <c r="W174" s="57">
        <v>1</v>
      </c>
      <c r="X174" s="57">
        <f>6/10*100</f>
        <v>60</v>
      </c>
      <c r="Y174" s="104">
        <f>AVERAGE(340,360,64,40,87,1,0,0,0,0)</f>
        <v>89.2</v>
      </c>
      <c r="Z174" s="6">
        <v>0</v>
      </c>
      <c r="AA174" s="12" t="s">
        <v>64</v>
      </c>
      <c r="AB174" s="10" t="s">
        <v>84</v>
      </c>
      <c r="AC174" s="11">
        <f>1/10*100</f>
        <v>10</v>
      </c>
      <c r="AD174" s="9">
        <f t="shared" si="0"/>
        <v>0.1</v>
      </c>
      <c r="AE174" s="1" t="s">
        <v>652</v>
      </c>
      <c r="AF174" s="1" t="s">
        <v>61</v>
      </c>
      <c r="AG174" s="1">
        <v>2</v>
      </c>
      <c r="AH174" s="1" t="s">
        <v>599</v>
      </c>
      <c r="AI174" s="1" t="s">
        <v>661</v>
      </c>
      <c r="AJ174" s="9">
        <v>6.1714285714285726</v>
      </c>
      <c r="AK174" s="9">
        <v>0</v>
      </c>
      <c r="AL174" s="9">
        <v>0</v>
      </c>
      <c r="AM174" s="9">
        <v>0</v>
      </c>
      <c r="AN174" s="9">
        <v>0</v>
      </c>
      <c r="AP174" s="1">
        <v>1</v>
      </c>
      <c r="AQ174" s="1">
        <v>3</v>
      </c>
      <c r="AR174" s="1">
        <v>1</v>
      </c>
      <c r="AS174" s="108">
        <v>5</v>
      </c>
      <c r="AT174" s="1">
        <v>1</v>
      </c>
      <c r="AU174" s="107">
        <f>AVERAGE(2,2,1,1,2,1,1,3,2,3,1,2,1,1)/5*200</f>
        <v>65.714285714285708</v>
      </c>
    </row>
    <row r="175" spans="1:47" ht="29.1">
      <c r="A175" s="1" t="s">
        <v>47</v>
      </c>
      <c r="B175" s="1" t="s">
        <v>144</v>
      </c>
      <c r="C175" s="1" t="s">
        <v>260</v>
      </c>
      <c r="D175" s="1" t="s">
        <v>261</v>
      </c>
      <c r="E175" s="1" t="s">
        <v>404</v>
      </c>
      <c r="F175" s="1" t="s">
        <v>405</v>
      </c>
      <c r="G175" s="1" t="s">
        <v>406</v>
      </c>
      <c r="H175" s="1">
        <v>31</v>
      </c>
      <c r="I175" s="3">
        <v>43073</v>
      </c>
      <c r="J175" s="1">
        <v>-1.5699559999999999</v>
      </c>
      <c r="K175" s="1">
        <v>29.539708999999998</v>
      </c>
      <c r="L175" s="1">
        <v>2200</v>
      </c>
      <c r="M175" s="1" t="s">
        <v>64</v>
      </c>
      <c r="N175" s="1" t="s">
        <v>662</v>
      </c>
      <c r="O175" s="88">
        <f>20*25</f>
        <v>500</v>
      </c>
      <c r="P175" s="1">
        <v>3</v>
      </c>
      <c r="Q175" s="1" t="s">
        <v>189</v>
      </c>
      <c r="R175" s="1" t="s">
        <v>266</v>
      </c>
      <c r="S175" s="1" t="s">
        <v>290</v>
      </c>
      <c r="T175" s="9">
        <v>1</v>
      </c>
      <c r="U175" s="9">
        <f>9/10*100</f>
        <v>90</v>
      </c>
      <c r="V175" s="94">
        <f>AVERAGE(10,0,0,15,10,0,0,0,0,15,10,0,10,0,0,20,10,0,50,40,0,10,0,0,5,0,0,5,0,0)</f>
        <v>7</v>
      </c>
      <c r="W175" s="57">
        <v>1</v>
      </c>
      <c r="X175" s="57">
        <f>3/10*100</f>
        <v>30</v>
      </c>
      <c r="Y175" s="104">
        <f>AVERAGE(0,0,7,0,3,0,0,0,4,0)</f>
        <v>1.4</v>
      </c>
      <c r="Z175" s="35">
        <v>0</v>
      </c>
      <c r="AA175" s="37" t="s">
        <v>64</v>
      </c>
      <c r="AB175" s="10" t="s">
        <v>84</v>
      </c>
      <c r="AC175" s="11">
        <f>1/10*100</f>
        <v>10</v>
      </c>
      <c r="AD175" s="9">
        <f t="shared" si="0"/>
        <v>0.1</v>
      </c>
      <c r="AE175" s="1" t="s">
        <v>663</v>
      </c>
      <c r="AF175" s="1" t="s">
        <v>73</v>
      </c>
      <c r="AG175" s="1">
        <v>1</v>
      </c>
      <c r="AH175" s="1" t="s">
        <v>61</v>
      </c>
      <c r="AI175" s="1" t="s">
        <v>664</v>
      </c>
      <c r="AJ175" s="9">
        <v>1.87</v>
      </c>
      <c r="AK175" s="9">
        <v>0</v>
      </c>
      <c r="AL175" s="9">
        <v>0</v>
      </c>
      <c r="AM175" s="9">
        <v>0</v>
      </c>
      <c r="AN175" s="9">
        <v>0</v>
      </c>
      <c r="AP175" s="1">
        <v>1</v>
      </c>
      <c r="AQ175" s="1">
        <v>4</v>
      </c>
      <c r="AR175" s="1">
        <v>1</v>
      </c>
      <c r="AS175" s="108">
        <v>4</v>
      </c>
      <c r="AT175" s="1">
        <v>1</v>
      </c>
      <c r="AU175" s="107">
        <f>AVERAGE(2,2,1,1,2,2,1,1,2,2,3,1,2,1,2,1,1,1)/5*100</f>
        <v>31.111111111111111</v>
      </c>
    </row>
    <row r="176" spans="1:47" ht="29.1">
      <c r="A176" s="1" t="s">
        <v>47</v>
      </c>
      <c r="B176" s="1" t="s">
        <v>144</v>
      </c>
      <c r="C176" s="1" t="s">
        <v>260</v>
      </c>
      <c r="D176" s="1" t="s">
        <v>307</v>
      </c>
      <c r="E176" s="1" t="s">
        <v>375</v>
      </c>
      <c r="F176" s="1" t="s">
        <v>444</v>
      </c>
      <c r="G176" s="1" t="s">
        <v>665</v>
      </c>
      <c r="H176" s="1">
        <v>18</v>
      </c>
      <c r="I176" s="3">
        <v>43067</v>
      </c>
      <c r="J176" s="1">
        <v>-1.3972059999999999</v>
      </c>
      <c r="K176" s="1">
        <v>29.720078000000001</v>
      </c>
      <c r="L176" s="1">
        <v>2213</v>
      </c>
      <c r="M176" s="1" t="s">
        <v>64</v>
      </c>
      <c r="N176" s="1" t="s">
        <v>666</v>
      </c>
      <c r="O176" s="88">
        <f>47*31</f>
        <v>1457</v>
      </c>
      <c r="P176" s="1">
        <v>3</v>
      </c>
      <c r="Q176" s="1" t="s">
        <v>128</v>
      </c>
      <c r="R176" s="1" t="s">
        <v>266</v>
      </c>
      <c r="S176" s="1" t="s">
        <v>267</v>
      </c>
      <c r="T176" s="9">
        <v>0</v>
      </c>
      <c r="U176" s="9" t="s">
        <v>64</v>
      </c>
      <c r="V176" s="94" t="s">
        <v>64</v>
      </c>
      <c r="W176" s="57">
        <v>1</v>
      </c>
      <c r="X176" s="57">
        <f>2/10*100</f>
        <v>20</v>
      </c>
      <c r="Y176" s="104">
        <f>AVERAGE(4,1,0,0,0,0,0,0,0,0)</f>
        <v>0.5</v>
      </c>
      <c r="Z176" s="35">
        <v>0</v>
      </c>
      <c r="AA176" s="37" t="s">
        <v>64</v>
      </c>
      <c r="AB176" s="33" t="s">
        <v>58</v>
      </c>
      <c r="AC176" s="34" t="s">
        <v>64</v>
      </c>
      <c r="AD176" s="34" t="s">
        <v>64</v>
      </c>
      <c r="AE176" s="1" t="s">
        <v>667</v>
      </c>
      <c r="AF176" s="1" t="s">
        <v>61</v>
      </c>
      <c r="AG176" s="1">
        <v>2</v>
      </c>
      <c r="AH176" s="1" t="s">
        <v>584</v>
      </c>
      <c r="AI176" s="1" t="s">
        <v>668</v>
      </c>
      <c r="AJ176" s="9">
        <v>1.57</v>
      </c>
      <c r="AK176" s="9">
        <v>0</v>
      </c>
      <c r="AL176" s="9">
        <v>0</v>
      </c>
      <c r="AM176" s="9">
        <v>0</v>
      </c>
      <c r="AN176" s="9">
        <v>0</v>
      </c>
      <c r="AP176" s="1">
        <v>1</v>
      </c>
      <c r="AQ176" s="1">
        <v>4</v>
      </c>
      <c r="AR176" s="1">
        <v>1</v>
      </c>
      <c r="AS176" s="108">
        <v>5</v>
      </c>
      <c r="AT176" s="1">
        <v>1</v>
      </c>
      <c r="AU176" s="1">
        <f>AVERAGE(2,1,1,1,2,1,1,3,1,1,2,2,1,1,2,2,2,1,1,2)/5*100</f>
        <v>30</v>
      </c>
    </row>
    <row r="177" spans="1:47" ht="29.1">
      <c r="A177" s="1" t="s">
        <v>47</v>
      </c>
      <c r="B177" s="1" t="s">
        <v>144</v>
      </c>
      <c r="C177" s="1" t="s">
        <v>260</v>
      </c>
      <c r="D177" s="1" t="s">
        <v>261</v>
      </c>
      <c r="E177" s="1" t="s">
        <v>351</v>
      </c>
      <c r="F177" s="1" t="s">
        <v>669</v>
      </c>
      <c r="G177" s="1" t="s">
        <v>263</v>
      </c>
      <c r="H177" s="1">
        <v>7</v>
      </c>
      <c r="I177" s="3">
        <v>43066</v>
      </c>
      <c r="J177" s="1">
        <v>-1.4456119999999999</v>
      </c>
      <c r="K177" s="1">
        <v>29.591802000000001</v>
      </c>
      <c r="L177" s="1">
        <v>2223</v>
      </c>
      <c r="M177" s="1">
        <v>783843069</v>
      </c>
      <c r="N177" s="1" t="s">
        <v>670</v>
      </c>
      <c r="O177" s="88">
        <f>30*50</f>
        <v>1500</v>
      </c>
      <c r="P177" s="1">
        <v>3</v>
      </c>
      <c r="Q177" s="1" t="s">
        <v>189</v>
      </c>
      <c r="R177" s="1" t="s">
        <v>266</v>
      </c>
      <c r="S177" s="1" t="s">
        <v>267</v>
      </c>
      <c r="T177" s="9">
        <v>1</v>
      </c>
      <c r="U177" s="9">
        <f>7/10*100</f>
        <v>70</v>
      </c>
      <c r="V177" s="94">
        <f>AVERAGE(2,2,0,20,10,0,10,10,0,10,10,0,15,10,0,0,0,0,0,0,5,1,0,0,0,0,10,5,0)</f>
        <v>4.1379310344827589</v>
      </c>
      <c r="W177" s="57">
        <v>1</v>
      </c>
      <c r="X177" s="57">
        <f>2/10*100</f>
        <v>20</v>
      </c>
      <c r="Y177" s="104">
        <f>AVERAGE(17,3,0,0,0,0,0,0,0,0)</f>
        <v>2</v>
      </c>
      <c r="Z177" s="6">
        <v>0</v>
      </c>
      <c r="AA177" s="12" t="s">
        <v>64</v>
      </c>
      <c r="AB177" s="10" t="s">
        <v>84</v>
      </c>
      <c r="AC177" s="11">
        <f>5/10*100</f>
        <v>50</v>
      </c>
      <c r="AD177" s="9">
        <f>AVERAGE(1,1,1,0,0,0,0,0,0,0)</f>
        <v>0.3</v>
      </c>
      <c r="AE177" s="1" t="s">
        <v>671</v>
      </c>
      <c r="AF177" s="1" t="s">
        <v>160</v>
      </c>
      <c r="AG177" s="1">
        <v>0</v>
      </c>
      <c r="AH177" s="1" t="s">
        <v>61</v>
      </c>
      <c r="AI177" s="1" t="s">
        <v>615</v>
      </c>
      <c r="AJ177" s="9">
        <v>1.246</v>
      </c>
      <c r="AK177" s="9">
        <v>1</v>
      </c>
      <c r="AL177" s="9">
        <v>0.04</v>
      </c>
      <c r="AM177" s="9">
        <v>0.01</v>
      </c>
      <c r="AN177" s="9">
        <v>1</v>
      </c>
      <c r="AP177" s="1">
        <v>1</v>
      </c>
      <c r="AQ177" s="1">
        <v>3</v>
      </c>
      <c r="AR177" s="1">
        <v>1</v>
      </c>
      <c r="AS177" s="108">
        <v>5</v>
      </c>
      <c r="AT177" s="1">
        <v>1</v>
      </c>
      <c r="AU177" s="1">
        <f>AVERAGE(1,1,2,1,3,1,1,1,1,2,1,1,1,1,1,1,2,2,1,1)/5*100</f>
        <v>26</v>
      </c>
    </row>
    <row r="178" spans="1:47" ht="29.1">
      <c r="A178" s="1" t="s">
        <v>47</v>
      </c>
      <c r="B178" s="1" t="s">
        <v>144</v>
      </c>
      <c r="C178" s="1" t="s">
        <v>260</v>
      </c>
      <c r="D178" s="1" t="s">
        <v>380</v>
      </c>
      <c r="E178" s="1" t="s">
        <v>418</v>
      </c>
      <c r="F178" s="1" t="s">
        <v>672</v>
      </c>
      <c r="G178" s="1" t="s">
        <v>420</v>
      </c>
      <c r="H178" s="1">
        <v>34</v>
      </c>
      <c r="I178" s="3">
        <v>43073</v>
      </c>
      <c r="J178" s="1">
        <v>-1.5818129999999999</v>
      </c>
      <c r="K178" s="1">
        <v>29.526795</v>
      </c>
      <c r="L178" s="1">
        <v>2231</v>
      </c>
      <c r="M178" s="1" t="s">
        <v>64</v>
      </c>
      <c r="N178" s="1" t="s">
        <v>673</v>
      </c>
      <c r="O178" s="88">
        <f>60*20</f>
        <v>1200</v>
      </c>
      <c r="P178" s="1">
        <v>3</v>
      </c>
      <c r="Q178" s="1" t="s">
        <v>128</v>
      </c>
      <c r="R178" s="1" t="s">
        <v>266</v>
      </c>
      <c r="S178" s="1" t="s">
        <v>267</v>
      </c>
      <c r="T178" s="9">
        <v>1</v>
      </c>
      <c r="U178" s="9">
        <f>6/10*100</f>
        <v>60</v>
      </c>
      <c r="V178" s="94">
        <f>AVERAGE(10,0,0,0,0,0,0,0,0,20,10,0,0,0,0,15,10,0,5,0,0,10,0,0,0,0,0,2,0,0)</f>
        <v>2.7333333333333334</v>
      </c>
      <c r="W178" s="57">
        <v>1</v>
      </c>
      <c r="X178" s="57">
        <f>6/10*100</f>
        <v>60</v>
      </c>
      <c r="Y178" s="104">
        <f>AVERAGE(5,0,12,0,10,0,3,0,5,14)</f>
        <v>4.9000000000000004</v>
      </c>
      <c r="Z178" s="6">
        <v>0</v>
      </c>
      <c r="AA178" s="12" t="s">
        <v>64</v>
      </c>
      <c r="AB178" s="33" t="s">
        <v>58</v>
      </c>
      <c r="AC178" s="34" t="s">
        <v>64</v>
      </c>
      <c r="AD178" s="34" t="s">
        <v>64</v>
      </c>
      <c r="AE178" s="1" t="s">
        <v>674</v>
      </c>
      <c r="AF178" s="1" t="s">
        <v>621</v>
      </c>
      <c r="AG178" s="1" t="s">
        <v>64</v>
      </c>
      <c r="AH178" s="1" t="s">
        <v>61</v>
      </c>
      <c r="AI178" s="1" t="s">
        <v>675</v>
      </c>
      <c r="AJ178" s="9">
        <v>1.82</v>
      </c>
      <c r="AK178" s="9">
        <v>0</v>
      </c>
      <c r="AL178" s="9">
        <v>0</v>
      </c>
      <c r="AM178" s="9">
        <v>0</v>
      </c>
      <c r="AN178" s="9">
        <v>0</v>
      </c>
      <c r="AP178" s="1">
        <v>1</v>
      </c>
      <c r="AQ178" s="1">
        <v>4</v>
      </c>
      <c r="AR178" s="1">
        <v>1</v>
      </c>
      <c r="AS178" s="108">
        <v>5</v>
      </c>
      <c r="AT178" s="1">
        <v>1</v>
      </c>
      <c r="AU178" s="1">
        <f>AVERAGE(1,1,2,2,1,1,1,2,2,1,1,2,2,1,2,2,1,1,2,2)/5*100</f>
        <v>30</v>
      </c>
    </row>
    <row r="179" spans="1:47" ht="29.1">
      <c r="A179" s="1" t="s">
        <v>47</v>
      </c>
      <c r="B179" s="1" t="s">
        <v>144</v>
      </c>
      <c r="C179" s="1" t="s">
        <v>260</v>
      </c>
      <c r="D179" s="1" t="s">
        <v>307</v>
      </c>
      <c r="E179" s="1" t="s">
        <v>341</v>
      </c>
      <c r="F179" s="1" t="s">
        <v>342</v>
      </c>
      <c r="G179" s="1" t="s">
        <v>342</v>
      </c>
      <c r="H179" s="1">
        <v>28</v>
      </c>
      <c r="I179" s="3">
        <v>43068</v>
      </c>
      <c r="J179" s="1">
        <v>-1.4951970000000001</v>
      </c>
      <c r="K179" s="1">
        <v>29.854787000000002</v>
      </c>
      <c r="L179" s="1">
        <v>2237</v>
      </c>
      <c r="M179" s="1">
        <v>785552291</v>
      </c>
      <c r="N179" s="1" t="s">
        <v>676</v>
      </c>
      <c r="O179" s="88">
        <f>6*15</f>
        <v>90</v>
      </c>
      <c r="P179" s="1">
        <v>2</v>
      </c>
      <c r="Q179" s="1" t="s">
        <v>150</v>
      </c>
      <c r="R179" s="1" t="s">
        <v>635</v>
      </c>
      <c r="S179" s="1" t="s">
        <v>64</v>
      </c>
      <c r="T179" s="9">
        <v>0</v>
      </c>
      <c r="U179" s="9" t="s">
        <v>64</v>
      </c>
      <c r="V179" s="94" t="s">
        <v>64</v>
      </c>
      <c r="W179" s="57">
        <v>0</v>
      </c>
      <c r="X179" s="57" t="s">
        <v>64</v>
      </c>
      <c r="Y179" s="104" t="s">
        <v>64</v>
      </c>
      <c r="Z179" s="9">
        <v>1</v>
      </c>
      <c r="AA179" s="9">
        <f>AVERAGE(1,2,4,0,1,1,0,0,1,2,0,0,0,3,6,1,0,0,3,0)</f>
        <v>1.25</v>
      </c>
      <c r="AB179" s="10" t="s">
        <v>84</v>
      </c>
      <c r="AC179" s="11">
        <f>2/20*100</f>
        <v>10</v>
      </c>
      <c r="AD179" s="9">
        <f>AVERAGE(1,0,0,0,0,0,0,0,0,0)</f>
        <v>0.1</v>
      </c>
      <c r="AE179" s="1" t="s">
        <v>677</v>
      </c>
      <c r="AF179" s="1" t="s">
        <v>64</v>
      </c>
      <c r="AG179" s="1" t="s">
        <v>64</v>
      </c>
      <c r="AH179" s="1" t="s">
        <v>64</v>
      </c>
      <c r="AI179" s="1" t="s">
        <v>168</v>
      </c>
      <c r="AJ179" s="9">
        <v>1.18</v>
      </c>
      <c r="AK179" s="9">
        <v>0</v>
      </c>
      <c r="AL179" s="9">
        <v>0</v>
      </c>
      <c r="AM179" s="9">
        <v>0</v>
      </c>
      <c r="AN179" s="9">
        <v>0</v>
      </c>
      <c r="AP179" s="1">
        <v>1</v>
      </c>
      <c r="AQ179" s="1">
        <v>3</v>
      </c>
      <c r="AR179" s="1">
        <v>1</v>
      </c>
      <c r="AS179" s="108">
        <v>3</v>
      </c>
      <c r="AT179" s="1">
        <v>1</v>
      </c>
      <c r="AU179" s="107">
        <f>AVERAGE(2,1,2,1,1,2,1,1,2,1,1,1,2,1,1,2,2,3,1)/5*100</f>
        <v>29.473684210526311</v>
      </c>
    </row>
    <row r="180" spans="1:47" ht="29.1">
      <c r="A180" s="1" t="s">
        <v>47</v>
      </c>
      <c r="B180" s="1" t="s">
        <v>144</v>
      </c>
      <c r="C180" s="1" t="s">
        <v>260</v>
      </c>
      <c r="D180" s="1" t="s">
        <v>307</v>
      </c>
      <c r="E180" s="1" t="s">
        <v>371</v>
      </c>
      <c r="F180" s="1" t="s">
        <v>678</v>
      </c>
      <c r="G180" s="1" t="s">
        <v>679</v>
      </c>
      <c r="H180" s="1">
        <v>26</v>
      </c>
      <c r="I180" s="3">
        <v>43068</v>
      </c>
      <c r="J180" s="1">
        <v>-1.55017</v>
      </c>
      <c r="K180" s="1">
        <v>29.892745999999999</v>
      </c>
      <c r="L180" s="1">
        <v>2249</v>
      </c>
      <c r="M180" s="1" t="s">
        <v>64</v>
      </c>
      <c r="N180" s="1" t="s">
        <v>680</v>
      </c>
      <c r="O180" s="88">
        <f>12*24</f>
        <v>288</v>
      </c>
      <c r="P180" s="1">
        <v>3</v>
      </c>
      <c r="Q180" s="1" t="s">
        <v>128</v>
      </c>
      <c r="R180" s="1" t="s">
        <v>635</v>
      </c>
      <c r="S180" s="1" t="s">
        <v>64</v>
      </c>
      <c r="T180" s="9">
        <v>0</v>
      </c>
      <c r="U180" s="9" t="s">
        <v>64</v>
      </c>
      <c r="V180" s="94" t="s">
        <v>64</v>
      </c>
      <c r="W180" s="57">
        <v>1</v>
      </c>
      <c r="X180" s="57">
        <f>4/20*100</f>
        <v>20</v>
      </c>
      <c r="Y180" s="104">
        <f>AVERAGE(1,0,0,0,0,0,0,0,0,0,0,0,0,0,0,0,0,0,0,0)</f>
        <v>0.05</v>
      </c>
      <c r="Z180" s="9">
        <v>1</v>
      </c>
      <c r="AA180" s="9">
        <f>AVERAGE(0,0,0,2,0,0,0,0,0,0)</f>
        <v>0.2</v>
      </c>
      <c r="AB180" s="10" t="s">
        <v>84</v>
      </c>
      <c r="AC180" s="11">
        <f>5/20*100</f>
        <v>25</v>
      </c>
      <c r="AD180" s="9">
        <f>AVERAGE(1,2,0,0,0,0,0,0,0,0)</f>
        <v>0.3</v>
      </c>
      <c r="AE180" s="1" t="s">
        <v>155</v>
      </c>
      <c r="AF180" s="1" t="s">
        <v>64</v>
      </c>
      <c r="AG180" s="1" t="s">
        <v>64</v>
      </c>
      <c r="AH180" s="1" t="s">
        <v>61</v>
      </c>
      <c r="AJ180" s="9">
        <v>1.41</v>
      </c>
      <c r="AK180" s="9">
        <v>0</v>
      </c>
      <c r="AL180" s="9">
        <v>0</v>
      </c>
      <c r="AM180" s="9">
        <v>0</v>
      </c>
      <c r="AN180" s="9">
        <v>0</v>
      </c>
      <c r="AP180" s="1">
        <v>1</v>
      </c>
      <c r="AQ180" s="1">
        <v>4</v>
      </c>
      <c r="AR180" s="1">
        <v>1</v>
      </c>
      <c r="AS180" s="108">
        <v>4</v>
      </c>
      <c r="AT180" s="1">
        <v>1</v>
      </c>
      <c r="AU180" s="1">
        <f>AVERAGE(2,1,2,2,1,1,1,1,2,2,3,1,1,1,2,2,2,3,1,1)/5*100</f>
        <v>32</v>
      </c>
    </row>
    <row r="181" spans="1:47" ht="29.1">
      <c r="A181" s="1" t="s">
        <v>47</v>
      </c>
      <c r="B181" s="1" t="s">
        <v>144</v>
      </c>
      <c r="C181" s="1" t="s">
        <v>260</v>
      </c>
      <c r="D181" s="1" t="s">
        <v>261</v>
      </c>
      <c r="E181" s="1" t="s">
        <v>351</v>
      </c>
      <c r="F181" s="1" t="s">
        <v>681</v>
      </c>
      <c r="G181" s="1" t="s">
        <v>682</v>
      </c>
      <c r="H181" s="1">
        <v>8</v>
      </c>
      <c r="I181" s="3">
        <v>43066</v>
      </c>
      <c r="J181" s="1">
        <v>-1.431454</v>
      </c>
      <c r="K181" s="1">
        <v>29.628416000000001</v>
      </c>
      <c r="L181" s="1">
        <v>2261</v>
      </c>
      <c r="M181" s="1">
        <v>783380784</v>
      </c>
      <c r="N181" s="1" t="s">
        <v>683</v>
      </c>
      <c r="O181" s="88">
        <f>18*23</f>
        <v>414</v>
      </c>
      <c r="P181" s="1">
        <v>3</v>
      </c>
      <c r="Q181" s="1" t="s">
        <v>189</v>
      </c>
      <c r="R181" s="1" t="s">
        <v>266</v>
      </c>
      <c r="S181" s="1" t="s">
        <v>64</v>
      </c>
      <c r="T181" s="9">
        <v>1</v>
      </c>
      <c r="U181" s="9">
        <v>80</v>
      </c>
      <c r="V181" s="94">
        <f>AVERAGE(5,5,0,5,0,0,5,0,0,2,0,0,0,0,0,30,30,0,25,10,0,10,0,0,0,0,0,10,0,0)</f>
        <v>4.5666666666666664</v>
      </c>
      <c r="W181" s="54">
        <v>0</v>
      </c>
      <c r="X181" s="54" t="s">
        <v>64</v>
      </c>
      <c r="Y181" s="103" t="s">
        <v>64</v>
      </c>
      <c r="Z181" s="6">
        <v>0</v>
      </c>
      <c r="AA181" s="12" t="s">
        <v>64</v>
      </c>
      <c r="AB181" s="10" t="s">
        <v>84</v>
      </c>
      <c r="AC181" s="11">
        <f>3/10*100</f>
        <v>30</v>
      </c>
      <c r="AD181" s="9">
        <f>AVERAGE(1,0,0,0,0,0,0,0,0,0)</f>
        <v>0.1</v>
      </c>
      <c r="AE181" s="1" t="s">
        <v>684</v>
      </c>
      <c r="AF181" s="1" t="s">
        <v>61</v>
      </c>
      <c r="AG181" s="1">
        <v>0</v>
      </c>
      <c r="AH181" s="1" t="s">
        <v>61</v>
      </c>
      <c r="AI181" s="1" t="s">
        <v>685</v>
      </c>
      <c r="AJ181" s="9">
        <v>1.9</v>
      </c>
      <c r="AK181" s="9">
        <v>0</v>
      </c>
      <c r="AL181" s="9">
        <v>0</v>
      </c>
      <c r="AM181" s="9">
        <v>0</v>
      </c>
      <c r="AN181" s="9">
        <v>0</v>
      </c>
      <c r="AP181" s="1">
        <v>1</v>
      </c>
      <c r="AQ181" s="1">
        <v>4</v>
      </c>
      <c r="AR181" s="1">
        <v>1</v>
      </c>
      <c r="AS181" s="108">
        <v>4</v>
      </c>
      <c r="AT181" s="1">
        <v>1</v>
      </c>
      <c r="AU181" s="1">
        <f>AVERAGE(2,1,2,1,1,1,2,1,2,1,1,1,1,1,1,3,4,2,1,2)/5*100</f>
        <v>31</v>
      </c>
    </row>
    <row r="182" spans="1:47" ht="29.1">
      <c r="A182" s="1" t="s">
        <v>47</v>
      </c>
      <c r="B182" s="1" t="s">
        <v>144</v>
      </c>
      <c r="C182" s="1" t="s">
        <v>260</v>
      </c>
      <c r="D182" s="1" t="s">
        <v>307</v>
      </c>
      <c r="E182" s="1" t="s">
        <v>371</v>
      </c>
      <c r="F182" s="1" t="s">
        <v>558</v>
      </c>
      <c r="G182" s="1" t="s">
        <v>686</v>
      </c>
      <c r="H182" s="1">
        <v>21</v>
      </c>
      <c r="I182" s="3">
        <v>43068</v>
      </c>
      <c r="J182" s="1">
        <v>-1.559482</v>
      </c>
      <c r="K182" s="1">
        <v>29.935303999999999</v>
      </c>
      <c r="L182" s="1">
        <v>2270</v>
      </c>
      <c r="M182" s="1" t="s">
        <v>64</v>
      </c>
      <c r="N182" s="1" t="s">
        <v>687</v>
      </c>
      <c r="O182" s="88">
        <f>6*50</f>
        <v>300</v>
      </c>
      <c r="P182" s="1">
        <v>3</v>
      </c>
      <c r="Q182" s="1" t="s">
        <v>128</v>
      </c>
      <c r="R182" s="1" t="s">
        <v>635</v>
      </c>
      <c r="S182" s="1" t="s">
        <v>64</v>
      </c>
      <c r="T182" s="9">
        <v>1</v>
      </c>
      <c r="U182" s="9">
        <f>3/10*100</f>
        <v>30</v>
      </c>
      <c r="V182" s="94">
        <f>AVERAGE(15,20,4,10,0,0,0,0,0,0,0,0,0,0,0,0,0,0,0,0,0,0,0,0,0,0,0,0,0,0)</f>
        <v>1.6333333333333333</v>
      </c>
      <c r="W182" s="57">
        <v>1</v>
      </c>
      <c r="X182" s="57">
        <f>3/20*100</f>
        <v>15</v>
      </c>
      <c r="Y182" s="104">
        <f>AVERAGE(2,3,4,0,0,0,0,0,0,0,,0,0,0,0,0,0,0,0,0)</f>
        <v>0.45</v>
      </c>
      <c r="Z182" s="35">
        <v>0</v>
      </c>
      <c r="AA182" s="37" t="s">
        <v>64</v>
      </c>
      <c r="AB182" s="10" t="s">
        <v>84</v>
      </c>
      <c r="AC182" s="11">
        <f>4/20*100</f>
        <v>20</v>
      </c>
      <c r="AD182" s="9">
        <f>AVERAGE(1,0,0,0,0,0,0,0,0,0)</f>
        <v>0.1</v>
      </c>
      <c r="AE182" s="1" t="s">
        <v>688</v>
      </c>
      <c r="AF182" s="1" t="s">
        <v>64</v>
      </c>
      <c r="AG182" s="1" t="s">
        <v>64</v>
      </c>
      <c r="AH182" s="1" t="s">
        <v>584</v>
      </c>
      <c r="AI182" s="1" t="s">
        <v>196</v>
      </c>
      <c r="AJ182" s="9">
        <v>1.57</v>
      </c>
      <c r="AK182" s="9">
        <v>0</v>
      </c>
      <c r="AL182" s="9">
        <v>0</v>
      </c>
      <c r="AM182" s="9">
        <v>0</v>
      </c>
      <c r="AN182" s="9">
        <v>0</v>
      </c>
      <c r="AP182" s="1">
        <v>1</v>
      </c>
      <c r="AQ182" s="1">
        <v>4</v>
      </c>
      <c r="AR182" s="1">
        <v>1</v>
      </c>
      <c r="AS182" s="108">
        <v>4</v>
      </c>
      <c r="AT182" s="1">
        <v>1</v>
      </c>
      <c r="AU182" s="1">
        <f>AVERAGE(2,2,1,3,1,1,1,2,2,3,1,1,2,2,1,1,2,1,1,1)/5*100</f>
        <v>31</v>
      </c>
    </row>
    <row r="183" spans="1:47" ht="29.1">
      <c r="A183" s="1" t="s">
        <v>47</v>
      </c>
      <c r="B183" s="1" t="s">
        <v>144</v>
      </c>
      <c r="C183" s="1" t="s">
        <v>260</v>
      </c>
      <c r="D183" s="1" t="s">
        <v>307</v>
      </c>
      <c r="E183" s="1" t="s">
        <v>371</v>
      </c>
      <c r="F183" s="1" t="s">
        <v>433</v>
      </c>
      <c r="G183" s="1" t="s">
        <v>689</v>
      </c>
      <c r="H183" s="1">
        <v>22</v>
      </c>
      <c r="I183" s="3">
        <v>43068</v>
      </c>
      <c r="J183" s="1">
        <v>-1.5773170000000001</v>
      </c>
      <c r="K183" s="1">
        <v>29.944033999999998</v>
      </c>
      <c r="L183" s="1">
        <v>2280</v>
      </c>
      <c r="M183" s="1">
        <v>783583087</v>
      </c>
      <c r="N183" s="1" t="s">
        <v>690</v>
      </c>
      <c r="O183" s="88">
        <f>12*23</f>
        <v>276</v>
      </c>
      <c r="P183" s="1" t="s">
        <v>64</v>
      </c>
      <c r="Q183" s="1" t="s">
        <v>64</v>
      </c>
      <c r="R183" s="1" t="s">
        <v>635</v>
      </c>
      <c r="S183" s="1" t="s">
        <v>64</v>
      </c>
      <c r="T183" s="9">
        <v>1</v>
      </c>
      <c r="U183" s="9">
        <f>2/10*100</f>
        <v>20</v>
      </c>
      <c r="V183" s="94">
        <f>AVERAGE(10,5,2,1,10,0,0,0,0,0,0,0,0,0,0,0,0,0,0,0,0,0,0,0,0,0,0,0,0,0)</f>
        <v>0.93333333333333335</v>
      </c>
      <c r="W183" s="57">
        <v>1</v>
      </c>
      <c r="X183" s="57">
        <f>4/20*100</f>
        <v>20</v>
      </c>
      <c r="Y183" s="104">
        <f>AVERAGE(6,1,2,2,0,0,0,0,0,0)</f>
        <v>1.1000000000000001</v>
      </c>
      <c r="Z183" s="35">
        <v>0</v>
      </c>
      <c r="AA183" s="37" t="s">
        <v>64</v>
      </c>
      <c r="AB183" s="10" t="s">
        <v>84</v>
      </c>
      <c r="AC183" s="11">
        <f>4/20*100</f>
        <v>20</v>
      </c>
      <c r="AD183" s="9">
        <f>AVERAGE(1,0,0,0,0,0,0,0,0,0)</f>
        <v>0.1</v>
      </c>
      <c r="AE183" s="1" t="s">
        <v>691</v>
      </c>
      <c r="AF183" s="1" t="s">
        <v>73</v>
      </c>
      <c r="AG183" s="1" t="s">
        <v>64</v>
      </c>
      <c r="AH183" s="1" t="s">
        <v>64</v>
      </c>
      <c r="AI183" s="1" t="s">
        <v>637</v>
      </c>
      <c r="AJ183" s="9">
        <v>1.1379999999999999</v>
      </c>
      <c r="AK183" s="9">
        <v>0</v>
      </c>
      <c r="AL183" s="9">
        <v>0</v>
      </c>
      <c r="AM183" s="9">
        <v>0</v>
      </c>
      <c r="AN183" s="9">
        <v>0</v>
      </c>
      <c r="AP183" s="1">
        <v>1</v>
      </c>
      <c r="AQ183" s="1">
        <v>4</v>
      </c>
      <c r="AR183" s="1">
        <v>1</v>
      </c>
      <c r="AS183" s="108">
        <v>3</v>
      </c>
      <c r="AT183" s="1">
        <v>1</v>
      </c>
      <c r="AU183" s="1">
        <f>AVERAGE(2,1,1,1,1,2,1,2,1,1,1,1,1,2,1,2,1,2,1,1)/5*100</f>
        <v>26</v>
      </c>
    </row>
    <row r="184" spans="1:47" ht="29.1">
      <c r="A184" s="1" t="s">
        <v>47</v>
      </c>
      <c r="B184" s="1" t="s">
        <v>144</v>
      </c>
      <c r="C184" s="1" t="s">
        <v>260</v>
      </c>
      <c r="D184" s="1" t="s">
        <v>307</v>
      </c>
      <c r="E184" s="1" t="s">
        <v>341</v>
      </c>
      <c r="F184" s="1" t="s">
        <v>437</v>
      </c>
      <c r="G184" s="1" t="s">
        <v>692</v>
      </c>
      <c r="H184" s="1">
        <v>27</v>
      </c>
      <c r="I184" s="3">
        <v>43068</v>
      </c>
      <c r="J184" s="1">
        <v>-1.5098370000000001</v>
      </c>
      <c r="K184" s="1">
        <v>29.876256999999999</v>
      </c>
      <c r="L184" s="1">
        <v>2298</v>
      </c>
      <c r="M184" s="1">
        <v>789219867</v>
      </c>
      <c r="N184" s="1" t="s">
        <v>693</v>
      </c>
      <c r="O184" s="88">
        <f>3*25</f>
        <v>75</v>
      </c>
      <c r="P184" s="1">
        <v>3</v>
      </c>
      <c r="Q184" s="1" t="s">
        <v>128</v>
      </c>
      <c r="R184" s="1" t="s">
        <v>635</v>
      </c>
      <c r="S184" s="1" t="s">
        <v>64</v>
      </c>
      <c r="T184" s="9">
        <v>0</v>
      </c>
      <c r="U184" s="9" t="s">
        <v>64</v>
      </c>
      <c r="V184" s="94" t="s">
        <v>64</v>
      </c>
      <c r="W184" s="57">
        <v>1</v>
      </c>
      <c r="X184" s="57">
        <f>1/20*100</f>
        <v>5</v>
      </c>
      <c r="Y184" s="104">
        <f>AVERAGE(1,0,0,0,0,0,0,0,0,0,0,0,0,0,0,0,0,0,0,0)</f>
        <v>0.05</v>
      </c>
      <c r="Z184" s="9">
        <v>1</v>
      </c>
      <c r="AA184" s="9">
        <f>AVERAGE(0,0,1,1,0,0,0,0,0,0)</f>
        <v>0.2</v>
      </c>
      <c r="AB184" s="10" t="s">
        <v>84</v>
      </c>
      <c r="AC184" s="11">
        <f>8/20*100</f>
        <v>40</v>
      </c>
      <c r="AD184" s="9">
        <f>AVERAGE(1,1,0,0,0,0,0,0,0,0)</f>
        <v>0.2</v>
      </c>
      <c r="AE184" s="1" t="s">
        <v>155</v>
      </c>
      <c r="AF184" s="1" t="s">
        <v>73</v>
      </c>
      <c r="AG184" s="1" t="s">
        <v>64</v>
      </c>
      <c r="AH184" s="1" t="s">
        <v>61</v>
      </c>
      <c r="AI184" s="1" t="s">
        <v>61</v>
      </c>
      <c r="AJ184" s="9">
        <v>2.036</v>
      </c>
      <c r="AK184" s="9">
        <v>3</v>
      </c>
      <c r="AL184" s="9">
        <v>0.59</v>
      </c>
      <c r="AM184" s="9">
        <v>0.03</v>
      </c>
      <c r="AN184" s="9">
        <v>5</v>
      </c>
      <c r="AP184" s="1">
        <v>1</v>
      </c>
      <c r="AQ184" s="1">
        <v>4</v>
      </c>
      <c r="AR184" s="1">
        <v>1</v>
      </c>
      <c r="AS184" s="108">
        <v>4</v>
      </c>
      <c r="AT184" s="1">
        <v>1</v>
      </c>
      <c r="AU184" s="1">
        <f>AVERAGE(2,2,2,1,1,2,3,1,1,2,4,1,1,1,3,2,1,4,1,2)/5*100</f>
        <v>37</v>
      </c>
    </row>
    <row r="185" spans="1:47">
      <c r="A185" s="1" t="s">
        <v>47</v>
      </c>
      <c r="B185" s="1" t="s">
        <v>144</v>
      </c>
      <c r="C185" s="1" t="s">
        <v>260</v>
      </c>
      <c r="D185" s="1" t="s">
        <v>307</v>
      </c>
      <c r="E185" s="1" t="s">
        <v>371</v>
      </c>
      <c r="F185" s="1" t="s">
        <v>410</v>
      </c>
      <c r="G185" s="1" t="s">
        <v>694</v>
      </c>
      <c r="H185" s="1">
        <v>25</v>
      </c>
      <c r="I185" s="3">
        <v>43068</v>
      </c>
      <c r="J185" s="1">
        <v>-1.5718019999999999</v>
      </c>
      <c r="K185" s="1">
        <v>29.891859</v>
      </c>
      <c r="L185" s="1">
        <v>2300</v>
      </c>
      <c r="M185" s="1" t="s">
        <v>64</v>
      </c>
      <c r="N185" s="1" t="s">
        <v>695</v>
      </c>
      <c r="O185" s="88">
        <f>7*12</f>
        <v>84</v>
      </c>
      <c r="P185" s="1" t="s">
        <v>64</v>
      </c>
      <c r="Q185" s="1" t="s">
        <v>64</v>
      </c>
      <c r="R185" s="1" t="s">
        <v>635</v>
      </c>
      <c r="S185" s="1" t="s">
        <v>64</v>
      </c>
      <c r="T185" s="9">
        <v>1</v>
      </c>
      <c r="U185" s="9">
        <f>1/10*100</f>
        <v>10</v>
      </c>
      <c r="V185" s="94">
        <f>AVERAGE(1,5,0,0,0,0,0,0,0,0,0,0,0,0,0,0,0,0,0,0,0,0,0,0,0,0,0,0,0,0)</f>
        <v>0.2</v>
      </c>
      <c r="W185" s="57">
        <v>1</v>
      </c>
      <c r="X185" s="57">
        <f>2/20*100</f>
        <v>10</v>
      </c>
      <c r="Y185" s="104">
        <f>AVERAGE(18,12,1,3,0,0,0,0,0,0)</f>
        <v>3.4</v>
      </c>
      <c r="Z185" s="35">
        <v>0</v>
      </c>
      <c r="AA185" s="37" t="s">
        <v>64</v>
      </c>
      <c r="AB185" s="10" t="s">
        <v>84</v>
      </c>
      <c r="AC185" s="11">
        <f>5/20*100</f>
        <v>25</v>
      </c>
      <c r="AD185" s="9">
        <f>AVERAGE(1,0,0,0,0,0,0,0,0,0)</f>
        <v>0.1</v>
      </c>
      <c r="AE185" s="1" t="s">
        <v>155</v>
      </c>
      <c r="AF185" s="1" t="s">
        <v>73</v>
      </c>
      <c r="AG185" s="1" t="s">
        <v>64</v>
      </c>
      <c r="AH185" s="1" t="s">
        <v>64</v>
      </c>
      <c r="AI185" s="1" t="s">
        <v>64</v>
      </c>
      <c r="AJ185" s="9">
        <v>2.52</v>
      </c>
      <c r="AK185" s="9">
        <v>0</v>
      </c>
      <c r="AL185" s="9">
        <v>0</v>
      </c>
      <c r="AM185" s="9">
        <v>0</v>
      </c>
      <c r="AN185" s="9">
        <v>0</v>
      </c>
      <c r="AP185" s="1">
        <v>1</v>
      </c>
      <c r="AQ185" s="1">
        <v>4</v>
      </c>
      <c r="AR185" s="1">
        <v>1</v>
      </c>
      <c r="AS185" s="108">
        <v>4</v>
      </c>
      <c r="AT185" s="1">
        <v>1</v>
      </c>
      <c r="AU185" s="1">
        <f>AVERAGE(2,2,1,3,1,1,2,3,4,1,2,3,4,4,3,2,1,2,3,2)/5*100</f>
        <v>46</v>
      </c>
    </row>
    <row r="186" spans="1:47" ht="29.1">
      <c r="A186" s="1" t="s">
        <v>47</v>
      </c>
      <c r="B186" s="1" t="s">
        <v>144</v>
      </c>
      <c r="C186" s="1" t="s">
        <v>260</v>
      </c>
      <c r="D186" s="1" t="s">
        <v>380</v>
      </c>
      <c r="E186" s="1" t="s">
        <v>696</v>
      </c>
      <c r="F186" s="1" t="s">
        <v>484</v>
      </c>
      <c r="G186" s="1" t="s">
        <v>697</v>
      </c>
      <c r="H186" s="1">
        <v>33</v>
      </c>
      <c r="I186" s="3">
        <v>43073</v>
      </c>
      <c r="J186" s="1">
        <v>-1.619577</v>
      </c>
      <c r="K186" s="1">
        <v>29.504625000000001</v>
      </c>
      <c r="L186" s="1">
        <v>2320</v>
      </c>
      <c r="M186" s="1">
        <v>783125058</v>
      </c>
      <c r="N186" s="1" t="s">
        <v>698</v>
      </c>
      <c r="O186" s="88">
        <f>20*20</f>
        <v>400</v>
      </c>
      <c r="P186" s="1">
        <v>3</v>
      </c>
      <c r="Q186" s="1" t="s">
        <v>189</v>
      </c>
      <c r="R186" s="1" t="s">
        <v>266</v>
      </c>
      <c r="S186" s="1" t="s">
        <v>699</v>
      </c>
      <c r="T186" s="9">
        <v>1</v>
      </c>
      <c r="U186" s="9">
        <f>3/10*100</f>
        <v>30</v>
      </c>
      <c r="V186" s="94">
        <f>AVERAGE(20,10,0,10,0,0,0,0,0,0,0,0,0,0,0,0,0,0,0,0,0,10,3,0,0,0,0)</f>
        <v>1.962962962962963</v>
      </c>
      <c r="W186" s="57">
        <v>1</v>
      </c>
      <c r="X186" s="57">
        <f>1/10*100</f>
        <v>10</v>
      </c>
      <c r="Y186" s="104">
        <f>AVERAGE(1,0,0,0,0,0,0,0,0,0)</f>
        <v>0.1</v>
      </c>
      <c r="Z186" s="35">
        <v>0</v>
      </c>
      <c r="AA186" s="37" t="s">
        <v>64</v>
      </c>
      <c r="AB186" s="33" t="s">
        <v>58</v>
      </c>
      <c r="AC186" s="34" t="s">
        <v>64</v>
      </c>
      <c r="AD186" s="34" t="s">
        <v>64</v>
      </c>
      <c r="AE186" s="1" t="s">
        <v>700</v>
      </c>
      <c r="AF186" s="1" t="s">
        <v>621</v>
      </c>
      <c r="AG186" s="1">
        <v>1</v>
      </c>
      <c r="AH186" s="1" t="s">
        <v>61</v>
      </c>
      <c r="AI186" s="1" t="s">
        <v>701</v>
      </c>
      <c r="AJ186" s="9">
        <v>1.53</v>
      </c>
      <c r="AK186" s="9">
        <v>0</v>
      </c>
      <c r="AL186" s="9">
        <v>0</v>
      </c>
      <c r="AM186" s="9">
        <v>0</v>
      </c>
      <c r="AN186" s="9">
        <v>0</v>
      </c>
      <c r="AP186" s="1">
        <v>1</v>
      </c>
      <c r="AQ186" s="1">
        <v>4</v>
      </c>
      <c r="AR186" s="1">
        <v>1</v>
      </c>
      <c r="AS186" s="108">
        <v>5</v>
      </c>
      <c r="AT186" s="1">
        <v>1</v>
      </c>
      <c r="AU186" s="1">
        <f>AVERAGE(1,1,1,1,1,2,3,2,1,1,2,1,2,2,1,1,1,2,3,1)/5*100</f>
        <v>30</v>
      </c>
    </row>
    <row r="187" spans="1:47" ht="29.1">
      <c r="A187" s="1" t="s">
        <v>47</v>
      </c>
      <c r="B187" s="1" t="s">
        <v>144</v>
      </c>
      <c r="C187" s="1" t="s">
        <v>260</v>
      </c>
      <c r="D187" s="1" t="s">
        <v>307</v>
      </c>
      <c r="E187" s="1" t="s">
        <v>600</v>
      </c>
      <c r="F187" s="1" t="s">
        <v>702</v>
      </c>
      <c r="G187" s="1" t="s">
        <v>703</v>
      </c>
      <c r="H187" s="1">
        <v>46</v>
      </c>
      <c r="I187" s="3">
        <v>43075</v>
      </c>
      <c r="J187" s="1">
        <v>-1.4705729999999999</v>
      </c>
      <c r="K187" s="1">
        <v>29.843014</v>
      </c>
      <c r="L187" s="1">
        <v>2322</v>
      </c>
      <c r="M187" s="1" t="s">
        <v>64</v>
      </c>
      <c r="N187" s="1" t="s">
        <v>704</v>
      </c>
      <c r="O187" s="88">
        <f>10*35</f>
        <v>350</v>
      </c>
      <c r="P187" s="1">
        <v>3</v>
      </c>
      <c r="Q187" s="1" t="s">
        <v>189</v>
      </c>
      <c r="R187" s="1" t="s">
        <v>266</v>
      </c>
      <c r="S187" s="1" t="s">
        <v>345</v>
      </c>
      <c r="T187" s="9">
        <v>0</v>
      </c>
      <c r="U187" s="9" t="s">
        <v>64</v>
      </c>
      <c r="V187" s="94" t="s">
        <v>64</v>
      </c>
      <c r="W187" s="54">
        <v>0</v>
      </c>
      <c r="X187" s="54" t="s">
        <v>64</v>
      </c>
      <c r="Y187" s="103" t="s">
        <v>64</v>
      </c>
      <c r="Z187" s="9">
        <v>1</v>
      </c>
      <c r="AA187" s="9">
        <f>AVERAGE(2,0,0,0,0,0,0,0,0,0)</f>
        <v>0.2</v>
      </c>
      <c r="AB187" s="33" t="s">
        <v>58</v>
      </c>
      <c r="AC187" s="34" t="s">
        <v>64</v>
      </c>
      <c r="AD187" s="34" t="s">
        <v>64</v>
      </c>
      <c r="AE187" s="1" t="s">
        <v>155</v>
      </c>
      <c r="AF187" s="1" t="s">
        <v>73</v>
      </c>
      <c r="AG187" s="1">
        <v>0</v>
      </c>
      <c r="AH187" s="1" t="s">
        <v>61</v>
      </c>
      <c r="AI187" s="1" t="s">
        <v>61</v>
      </c>
      <c r="AJ187" s="9">
        <v>1.99</v>
      </c>
      <c r="AK187" s="9">
        <v>1</v>
      </c>
      <c r="AL187" s="9">
        <v>0.24</v>
      </c>
      <c r="AM187" s="9">
        <v>0.01</v>
      </c>
      <c r="AN187" s="9">
        <v>2</v>
      </c>
      <c r="AP187" s="1">
        <v>1</v>
      </c>
      <c r="AQ187" s="1">
        <v>4</v>
      </c>
      <c r="AR187" s="1">
        <v>1</v>
      </c>
      <c r="AS187" s="108">
        <v>4</v>
      </c>
      <c r="AT187" s="1">
        <v>1</v>
      </c>
      <c r="AU187" s="1">
        <f>AVERAGE(1,2,2,3,1,4,2,1,3,2,2,1,3,4,2,2,4,2,1,3)/5*10</f>
        <v>4.5</v>
      </c>
    </row>
    <row r="188" spans="1:47" ht="29.1">
      <c r="A188" s="1" t="s">
        <v>47</v>
      </c>
      <c r="B188" s="1" t="s">
        <v>144</v>
      </c>
      <c r="C188" s="1" t="s">
        <v>260</v>
      </c>
      <c r="D188" s="1" t="s">
        <v>307</v>
      </c>
      <c r="E188" s="1" t="s">
        <v>466</v>
      </c>
      <c r="F188" s="1" t="s">
        <v>467</v>
      </c>
      <c r="G188" s="1" t="s">
        <v>468</v>
      </c>
      <c r="H188" s="1">
        <v>19</v>
      </c>
      <c r="I188" s="3">
        <v>43067</v>
      </c>
      <c r="J188" s="1">
        <v>-1.413645</v>
      </c>
      <c r="K188" s="1">
        <v>29.703938999999998</v>
      </c>
      <c r="L188" s="1">
        <v>2324</v>
      </c>
      <c r="M188" s="1" t="s">
        <v>64</v>
      </c>
      <c r="N188" s="1" t="s">
        <v>705</v>
      </c>
      <c r="O188" s="88">
        <f>7*12</f>
        <v>84</v>
      </c>
      <c r="P188" s="1">
        <v>3</v>
      </c>
      <c r="Q188" s="1" t="s">
        <v>189</v>
      </c>
      <c r="R188" s="1" t="s">
        <v>266</v>
      </c>
      <c r="S188" s="1" t="s">
        <v>340</v>
      </c>
      <c r="T188" s="9">
        <v>1</v>
      </c>
      <c r="U188" s="9">
        <f>4/10*100</f>
        <v>40</v>
      </c>
      <c r="V188" s="94">
        <f>AVERAGE(5,10,5,5,0,0,0,0,0,0,0,0,0,0,0,0,0,0,0,0,0,0,0,0,0,0,0,0,0,0)</f>
        <v>0.83333333333333337</v>
      </c>
      <c r="W188" s="54">
        <v>0</v>
      </c>
      <c r="X188" s="54" t="s">
        <v>64</v>
      </c>
      <c r="Y188" s="103" t="s">
        <v>64</v>
      </c>
      <c r="Z188" s="9">
        <v>1</v>
      </c>
      <c r="AA188" s="9">
        <v>100</v>
      </c>
      <c r="AB188" s="33" t="s">
        <v>58</v>
      </c>
      <c r="AC188" s="34" t="s">
        <v>64</v>
      </c>
      <c r="AD188" s="34" t="s">
        <v>64</v>
      </c>
      <c r="AE188" s="1" t="s">
        <v>64</v>
      </c>
      <c r="AF188" s="1" t="s">
        <v>706</v>
      </c>
      <c r="AG188" s="1">
        <v>1</v>
      </c>
      <c r="AH188" s="1" t="s">
        <v>584</v>
      </c>
      <c r="AI188" s="1" t="s">
        <v>397</v>
      </c>
      <c r="AJ188" s="9">
        <v>1.71</v>
      </c>
      <c r="AK188" s="9">
        <v>0</v>
      </c>
      <c r="AL188" s="9">
        <v>0</v>
      </c>
      <c r="AM188" s="9">
        <v>0</v>
      </c>
      <c r="AN188" s="9">
        <v>0</v>
      </c>
      <c r="AP188" s="1">
        <v>1</v>
      </c>
      <c r="AQ188" s="1">
        <v>4</v>
      </c>
      <c r="AR188" s="1">
        <v>1</v>
      </c>
      <c r="AS188" s="108">
        <v>4</v>
      </c>
      <c r="AT188" s="1">
        <v>1</v>
      </c>
      <c r="AU188" s="1">
        <f>AVERAGE(2,2,2,1,1,1,2,2,2,1,1,2,2,1,1,1,2,1,1,1)/5*100</f>
        <v>28.999999999999996</v>
      </c>
    </row>
    <row r="189" spans="1:47" ht="29.1">
      <c r="A189" s="1" t="s">
        <v>47</v>
      </c>
      <c r="B189" s="1" t="s">
        <v>144</v>
      </c>
      <c r="C189" s="1" t="s">
        <v>260</v>
      </c>
      <c r="D189" s="1" t="s">
        <v>307</v>
      </c>
      <c r="E189" s="1" t="s">
        <v>361</v>
      </c>
      <c r="F189" s="1" t="s">
        <v>473</v>
      </c>
      <c r="G189" s="1" t="s">
        <v>474</v>
      </c>
      <c r="H189" s="1">
        <v>4</v>
      </c>
      <c r="I189" s="3">
        <v>43063</v>
      </c>
      <c r="J189" s="1">
        <v>-1.3776729999999999</v>
      </c>
      <c r="K189" s="1">
        <v>29.871085999999998</v>
      </c>
      <c r="L189" s="1">
        <v>2338</v>
      </c>
      <c r="M189" s="1">
        <v>0</v>
      </c>
      <c r="N189" s="1" t="s">
        <v>707</v>
      </c>
      <c r="P189" s="1">
        <v>3</v>
      </c>
      <c r="Q189" s="1" t="s">
        <v>189</v>
      </c>
      <c r="R189" s="1" t="s">
        <v>266</v>
      </c>
      <c r="S189" s="1" t="s">
        <v>281</v>
      </c>
      <c r="T189" s="9">
        <v>0</v>
      </c>
      <c r="U189" s="9" t="s">
        <v>64</v>
      </c>
      <c r="V189" s="94" t="s">
        <v>64</v>
      </c>
      <c r="W189" s="57">
        <v>1</v>
      </c>
      <c r="X189" s="57">
        <f>1/10*100</f>
        <v>10</v>
      </c>
      <c r="Y189" s="104">
        <f>AVERAGE(2,0,0,0,0,0,0,0,0,0)</f>
        <v>0.2</v>
      </c>
      <c r="Z189" s="35">
        <v>0</v>
      </c>
      <c r="AA189" s="37" t="s">
        <v>64</v>
      </c>
      <c r="AB189" s="10" t="s">
        <v>84</v>
      </c>
      <c r="AC189" s="11">
        <f>6/10*100</f>
        <v>60</v>
      </c>
      <c r="AD189" s="9">
        <v>0.1</v>
      </c>
      <c r="AE189" s="1" t="s">
        <v>708</v>
      </c>
      <c r="AF189" s="1" t="s">
        <v>709</v>
      </c>
      <c r="AG189" s="1">
        <v>0</v>
      </c>
      <c r="AH189" s="1" t="s">
        <v>61</v>
      </c>
      <c r="AI189" s="1" t="s">
        <v>61</v>
      </c>
      <c r="AJ189" s="9">
        <v>2.1800000000000002</v>
      </c>
      <c r="AK189" s="9">
        <v>0</v>
      </c>
      <c r="AL189" s="9">
        <v>0</v>
      </c>
      <c r="AM189" s="9">
        <v>0</v>
      </c>
      <c r="AN189" s="9">
        <v>0</v>
      </c>
      <c r="AP189" s="1">
        <v>1</v>
      </c>
      <c r="AQ189" s="1">
        <v>4</v>
      </c>
      <c r="AR189" s="1">
        <v>1</v>
      </c>
      <c r="AS189" s="108">
        <v>5</v>
      </c>
      <c r="AT189" s="1">
        <v>1</v>
      </c>
      <c r="AU189" s="1">
        <f>AVERAGE(1,4,3,5,4,1,2,3,1,2,1,4,2,3,1,4,2,1,4,1)/5*100</f>
        <v>49.000000000000007</v>
      </c>
    </row>
    <row r="190" spans="1:47" ht="29.1">
      <c r="A190" s="1" t="s">
        <v>47</v>
      </c>
      <c r="B190" s="1" t="s">
        <v>144</v>
      </c>
      <c r="C190" s="1" t="s">
        <v>260</v>
      </c>
      <c r="D190" s="1" t="s">
        <v>261</v>
      </c>
      <c r="E190" s="1" t="s">
        <v>458</v>
      </c>
      <c r="F190" s="1" t="s">
        <v>459</v>
      </c>
      <c r="G190" s="1" t="s">
        <v>318</v>
      </c>
      <c r="H190" s="1">
        <v>35</v>
      </c>
      <c r="I190" s="3">
        <v>43074</v>
      </c>
      <c r="J190" s="1">
        <v>-1.5499259999999999</v>
      </c>
      <c r="K190" s="1">
        <v>29.528834</v>
      </c>
      <c r="L190" s="1">
        <v>2350</v>
      </c>
      <c r="M190" s="1">
        <v>723828901</v>
      </c>
      <c r="N190" s="1" t="s">
        <v>710</v>
      </c>
      <c r="O190" s="88">
        <f>14*37</f>
        <v>518</v>
      </c>
      <c r="P190" s="1">
        <v>2.5</v>
      </c>
      <c r="Q190" s="1" t="s">
        <v>128</v>
      </c>
      <c r="R190" s="1" t="s">
        <v>266</v>
      </c>
      <c r="S190" s="1" t="s">
        <v>345</v>
      </c>
      <c r="T190" s="9">
        <v>1</v>
      </c>
      <c r="U190" s="9">
        <f>6/10*100</f>
        <v>60</v>
      </c>
      <c r="V190" s="94">
        <f>AVERAGE(0,0,0,5,0,0,5,0,0,10,0,0,2,0,0,0,0,0,0,0,0,0,0,0,5,0,0,0,2,0,0)</f>
        <v>0.93548387096774188</v>
      </c>
      <c r="W190" s="57">
        <v>1</v>
      </c>
      <c r="X190" s="57">
        <f>5/10*100</f>
        <v>50</v>
      </c>
      <c r="Y190" s="104">
        <f>AVERAGE(0,2,0,8,2,12,0,0,1,0)</f>
        <v>2.5</v>
      </c>
      <c r="Z190" s="6">
        <v>0</v>
      </c>
      <c r="AA190" s="12" t="s">
        <v>64</v>
      </c>
      <c r="AB190" s="33" t="s">
        <v>58</v>
      </c>
      <c r="AC190" s="34" t="s">
        <v>64</v>
      </c>
      <c r="AD190" s="34" t="s">
        <v>64</v>
      </c>
      <c r="AE190" s="1" t="s">
        <v>711</v>
      </c>
      <c r="AF190" s="1" t="s">
        <v>73</v>
      </c>
      <c r="AG190" s="1">
        <v>0</v>
      </c>
      <c r="AH190" s="1">
        <v>0</v>
      </c>
      <c r="AI190" s="1" t="s">
        <v>196</v>
      </c>
      <c r="AJ190" s="9">
        <v>1.54</v>
      </c>
      <c r="AK190" s="9">
        <v>0</v>
      </c>
      <c r="AL190" s="9">
        <v>0</v>
      </c>
      <c r="AM190" s="9">
        <v>0</v>
      </c>
      <c r="AN190" s="9">
        <v>0</v>
      </c>
      <c r="AP190" s="1">
        <v>1</v>
      </c>
      <c r="AQ190" s="1">
        <v>4</v>
      </c>
      <c r="AR190" s="1">
        <v>1</v>
      </c>
      <c r="AS190" s="108">
        <v>5</v>
      </c>
      <c r="AT190" s="1">
        <v>1</v>
      </c>
      <c r="AU190" s="107">
        <f>AVERAGE(1,1,2,2,2,1,2,1,1,1,2,2,1,2,1,1,2)/5*100</f>
        <v>29.411764705882355</v>
      </c>
    </row>
    <row r="191" spans="1:47" ht="43.5">
      <c r="A191" s="1" t="s">
        <v>47</v>
      </c>
      <c r="B191" s="1" t="s">
        <v>144</v>
      </c>
      <c r="C191" s="1" t="s">
        <v>260</v>
      </c>
      <c r="D191" s="1" t="s">
        <v>261</v>
      </c>
      <c r="E191" s="1" t="s">
        <v>712</v>
      </c>
      <c r="F191" s="1" t="s">
        <v>318</v>
      </c>
      <c r="G191" s="1" t="s">
        <v>713</v>
      </c>
      <c r="H191" s="1">
        <v>37</v>
      </c>
      <c r="I191" s="3">
        <v>43074</v>
      </c>
      <c r="J191" s="1">
        <v>-1.602938</v>
      </c>
      <c r="K191" s="1">
        <v>29.552434000000002</v>
      </c>
      <c r="L191" s="1">
        <v>2380</v>
      </c>
      <c r="M191" s="1" t="s">
        <v>64</v>
      </c>
      <c r="N191" s="1" t="s">
        <v>714</v>
      </c>
      <c r="O191" s="88">
        <f>7*34</f>
        <v>238</v>
      </c>
      <c r="P191" s="1">
        <v>3</v>
      </c>
      <c r="Q191" s="1" t="s">
        <v>189</v>
      </c>
      <c r="R191" s="1" t="s">
        <v>266</v>
      </c>
      <c r="S191" s="1" t="s">
        <v>497</v>
      </c>
      <c r="T191" s="9">
        <v>1</v>
      </c>
      <c r="U191" s="9">
        <f>3/10*100</f>
        <v>30</v>
      </c>
      <c r="V191" s="94">
        <f>AVERAGE(10,0,0,10,10,0,10,5,0,0,0,0,0,0,0,0,0,0,0,0,0,0,0,0,0,0,0,0,0,0)</f>
        <v>1.5</v>
      </c>
      <c r="W191" s="54">
        <v>0</v>
      </c>
      <c r="X191" s="54" t="s">
        <v>64</v>
      </c>
      <c r="Y191" s="103" t="s">
        <v>64</v>
      </c>
      <c r="Z191" s="6">
        <v>0</v>
      </c>
      <c r="AA191" s="12" t="s">
        <v>64</v>
      </c>
      <c r="AB191" s="10" t="s">
        <v>84</v>
      </c>
      <c r="AC191" s="11">
        <v>0</v>
      </c>
      <c r="AD191" s="9">
        <v>0</v>
      </c>
      <c r="AE191" s="1" t="s">
        <v>715</v>
      </c>
      <c r="AF191" s="1" t="s">
        <v>92</v>
      </c>
      <c r="AG191" s="1">
        <v>4</v>
      </c>
      <c r="AH191" s="1" t="s">
        <v>61</v>
      </c>
      <c r="AI191" s="1" t="s">
        <v>539</v>
      </c>
      <c r="AP191" s="1">
        <v>1</v>
      </c>
      <c r="AQ191" s="1">
        <v>4</v>
      </c>
      <c r="AR191" s="1">
        <v>1</v>
      </c>
      <c r="AS191" s="108">
        <v>4</v>
      </c>
      <c r="AT191" s="1">
        <v>1</v>
      </c>
      <c r="AU191" s="1">
        <f>AVERAGE(2,1,2,1,2,1,2,3,1,2,1,2,1,3,1,2,1,1,2,3)/5*100</f>
        <v>34</v>
      </c>
    </row>
    <row r="192" spans="1:47" ht="29.1">
      <c r="A192" s="1" t="s">
        <v>47</v>
      </c>
      <c r="B192" s="1" t="s">
        <v>144</v>
      </c>
      <c r="C192" s="1" t="s">
        <v>260</v>
      </c>
      <c r="D192" s="1" t="s">
        <v>261</v>
      </c>
      <c r="E192" s="1" t="s">
        <v>716</v>
      </c>
      <c r="F192" s="1" t="s">
        <v>717</v>
      </c>
      <c r="G192" s="1" t="s">
        <v>718</v>
      </c>
      <c r="H192" s="1">
        <v>38</v>
      </c>
      <c r="I192" s="3">
        <v>43074</v>
      </c>
      <c r="J192" s="1">
        <v>-1.586274</v>
      </c>
      <c r="K192" s="1">
        <v>29.587714999999999</v>
      </c>
      <c r="L192" s="1">
        <v>2464</v>
      </c>
      <c r="M192" s="1" t="s">
        <v>64</v>
      </c>
      <c r="N192" s="1" t="s">
        <v>719</v>
      </c>
      <c r="O192" s="88">
        <f>19*9</f>
        <v>171</v>
      </c>
      <c r="P192" s="1">
        <v>4</v>
      </c>
      <c r="Q192" s="1" t="s">
        <v>189</v>
      </c>
      <c r="R192" s="1" t="s">
        <v>266</v>
      </c>
      <c r="S192" s="1" t="s">
        <v>345</v>
      </c>
      <c r="T192" s="9">
        <v>0</v>
      </c>
      <c r="U192" s="9" t="s">
        <v>64</v>
      </c>
      <c r="V192" s="94" t="s">
        <v>64</v>
      </c>
      <c r="W192" s="57">
        <v>0</v>
      </c>
      <c r="X192" s="57" t="s">
        <v>64</v>
      </c>
      <c r="Y192" s="104" t="s">
        <v>64</v>
      </c>
      <c r="Z192" s="6">
        <v>0</v>
      </c>
      <c r="AA192" s="12" t="s">
        <v>64</v>
      </c>
      <c r="AB192" s="33" t="s">
        <v>58</v>
      </c>
      <c r="AC192" s="34" t="s">
        <v>64</v>
      </c>
      <c r="AD192" s="34" t="s">
        <v>64</v>
      </c>
      <c r="AE192" s="1" t="s">
        <v>720</v>
      </c>
      <c r="AF192" s="1" t="s">
        <v>73</v>
      </c>
      <c r="AG192" s="1">
        <v>0</v>
      </c>
      <c r="AH192" s="1" t="s">
        <v>64</v>
      </c>
      <c r="AI192" s="1" t="s">
        <v>721</v>
      </c>
      <c r="AJ192" s="9">
        <v>1.25</v>
      </c>
      <c r="AK192" s="9">
        <v>0</v>
      </c>
      <c r="AL192" s="9">
        <v>0</v>
      </c>
      <c r="AM192" s="9">
        <v>0</v>
      </c>
      <c r="AN192" s="9">
        <v>0</v>
      </c>
      <c r="AP192" s="1">
        <v>1</v>
      </c>
      <c r="AQ192" s="1">
        <v>4</v>
      </c>
      <c r="AR192" s="1">
        <v>1</v>
      </c>
      <c r="AS192" s="108">
        <v>4</v>
      </c>
      <c r="AT192" s="1">
        <v>1</v>
      </c>
      <c r="AU192" s="1">
        <f>AVERAGE(2,2,1,1,3,1,1,1,2,1,2,2,1,2,2,1,2,1,2,1)/5*100</f>
        <v>31</v>
      </c>
    </row>
    <row r="193" spans="1:47" ht="43.5">
      <c r="A193" s="1" t="s">
        <v>47</v>
      </c>
      <c r="B193" s="1" t="s">
        <v>144</v>
      </c>
      <c r="C193" s="1" t="s">
        <v>260</v>
      </c>
      <c r="D193" s="1" t="s">
        <v>307</v>
      </c>
      <c r="E193" s="1" t="s">
        <v>361</v>
      </c>
      <c r="F193" s="1" t="s">
        <v>473</v>
      </c>
      <c r="G193" s="1" t="s">
        <v>474</v>
      </c>
      <c r="H193" s="1">
        <v>3</v>
      </c>
      <c r="I193" s="3">
        <v>43063</v>
      </c>
      <c r="J193" s="1">
        <v>-1.3678410000000001</v>
      </c>
      <c r="K193" s="1">
        <v>29.865252999999999</v>
      </c>
      <c r="L193" s="1">
        <v>2466</v>
      </c>
      <c r="M193" s="1">
        <v>781668291</v>
      </c>
      <c r="N193" s="1" t="s">
        <v>722</v>
      </c>
      <c r="O193" s="88">
        <f>200*30</f>
        <v>6000</v>
      </c>
      <c r="P193" s="1">
        <v>3</v>
      </c>
      <c r="Q193" s="1" t="s">
        <v>128</v>
      </c>
      <c r="R193" s="1" t="s">
        <v>723</v>
      </c>
      <c r="S193" s="1" t="s">
        <v>281</v>
      </c>
      <c r="T193" s="31">
        <v>0</v>
      </c>
      <c r="U193" s="31" t="s">
        <v>64</v>
      </c>
      <c r="V193" s="93" t="s">
        <v>64</v>
      </c>
      <c r="W193" s="1">
        <v>1</v>
      </c>
      <c r="X193" s="1">
        <f>9/10*100</f>
        <v>90</v>
      </c>
      <c r="Y193" s="106">
        <f>AVERAGE(17,1,4,32,1,30,20,0,10,4)</f>
        <v>11.9</v>
      </c>
      <c r="Z193" s="6">
        <v>0</v>
      </c>
      <c r="AA193" s="12" t="s">
        <v>64</v>
      </c>
      <c r="AB193" s="1">
        <v>1</v>
      </c>
      <c r="AC193" s="1">
        <f>1/10*100</f>
        <v>10</v>
      </c>
      <c r="AD193" s="1">
        <v>0.1</v>
      </c>
      <c r="AE193" s="1" t="s">
        <v>724</v>
      </c>
      <c r="AF193" s="1" t="s">
        <v>61</v>
      </c>
      <c r="AG193" s="1">
        <v>0</v>
      </c>
      <c r="AH193" s="1" t="s">
        <v>61</v>
      </c>
      <c r="AI193" s="1" t="s">
        <v>725</v>
      </c>
      <c r="AJ193" s="1">
        <v>1.77</v>
      </c>
      <c r="AK193" s="1">
        <v>2</v>
      </c>
      <c r="AL193" s="1">
        <v>0.32</v>
      </c>
      <c r="AM193" s="1">
        <v>0.02</v>
      </c>
      <c r="AN193" s="1">
        <v>3</v>
      </c>
      <c r="AP193" s="1">
        <v>1</v>
      </c>
      <c r="AQ193" s="1">
        <v>4</v>
      </c>
      <c r="AR193" s="1">
        <v>1</v>
      </c>
      <c r="AS193" s="108">
        <v>5</v>
      </c>
      <c r="AT193" s="1">
        <v>1</v>
      </c>
      <c r="AU193" s="1">
        <f>AVERAGE(40,5,0,0,20,0,0,20,0,0,40,0,50,40,0,30,60,20,0,10)</f>
        <v>16.75</v>
      </c>
    </row>
    <row r="194" spans="1:47">
      <c r="A194" s="1" t="s">
        <v>47</v>
      </c>
      <c r="B194" s="1" t="s">
        <v>144</v>
      </c>
      <c r="C194" s="1" t="s">
        <v>260</v>
      </c>
      <c r="D194" s="1" t="s">
        <v>380</v>
      </c>
      <c r="E194" s="1" t="s">
        <v>696</v>
      </c>
      <c r="F194" s="1" t="s">
        <v>726</v>
      </c>
      <c r="G194" s="1" t="s">
        <v>727</v>
      </c>
      <c r="H194" s="1">
        <v>32</v>
      </c>
      <c r="I194" s="3">
        <v>43073</v>
      </c>
      <c r="J194" s="1">
        <v>-1.64608</v>
      </c>
      <c r="K194" s="1">
        <v>29.504640999999999</v>
      </c>
      <c r="L194" s="1">
        <f>2493</f>
        <v>2493</v>
      </c>
      <c r="M194" s="1">
        <v>726161882</v>
      </c>
      <c r="N194" s="1" t="s">
        <v>728</v>
      </c>
      <c r="O194" s="88">
        <f>16*12</f>
        <v>192</v>
      </c>
      <c r="P194" s="1">
        <v>2.5</v>
      </c>
      <c r="Q194" s="1" t="s">
        <v>150</v>
      </c>
      <c r="R194" s="1" t="s">
        <v>266</v>
      </c>
      <c r="S194" s="1" t="s">
        <v>497</v>
      </c>
      <c r="T194" s="9">
        <v>1</v>
      </c>
      <c r="U194" s="9">
        <f>1/10*100</f>
        <v>10</v>
      </c>
      <c r="V194" s="94">
        <f>AVERAGE(0,0,0,0,0,0,0,0,0,5,0,0,0,0,0,0,0,0,0,0,0,0,0,0,0,0,0,5,0,0)</f>
        <v>0.33333333333333331</v>
      </c>
      <c r="W194" s="57">
        <v>1</v>
      </c>
      <c r="X194" s="57">
        <f>6/10*100</f>
        <v>60</v>
      </c>
      <c r="Y194" s="104">
        <f>AVERAGE(5,0,43,0,41,10,44,0,36,0)</f>
        <v>17.899999999999999</v>
      </c>
      <c r="Z194" s="6">
        <v>0</v>
      </c>
      <c r="AA194" s="12" t="s">
        <v>64</v>
      </c>
      <c r="AB194" s="33" t="s">
        <v>58</v>
      </c>
      <c r="AC194" s="34" t="s">
        <v>64</v>
      </c>
      <c r="AD194" s="34" t="s">
        <v>64</v>
      </c>
      <c r="AE194" s="1" t="s">
        <v>64</v>
      </c>
      <c r="AF194" s="1" t="s">
        <v>621</v>
      </c>
      <c r="AG194" s="1">
        <v>0</v>
      </c>
      <c r="AH194" s="1" t="s">
        <v>64</v>
      </c>
      <c r="AI194" s="1" t="s">
        <v>64</v>
      </c>
      <c r="AJ194" s="9">
        <v>1.95</v>
      </c>
      <c r="AK194" s="9">
        <v>0</v>
      </c>
      <c r="AL194" s="9">
        <v>0</v>
      </c>
      <c r="AM194" s="9">
        <v>0</v>
      </c>
      <c r="AN194" s="9">
        <v>0</v>
      </c>
      <c r="AP194" s="1">
        <v>1</v>
      </c>
      <c r="AQ194" s="1">
        <v>4</v>
      </c>
      <c r="AR194" s="1">
        <v>1</v>
      </c>
      <c r="AS194" s="108">
        <v>5</v>
      </c>
      <c r="AT194" s="1">
        <v>1</v>
      </c>
      <c r="AU194" s="1">
        <f>AVERAGE(1,2,2,2,2,2,1,2,3,1,1,1,1,2,2,2,2,2,2,1)/5*100</f>
        <v>34</v>
      </c>
    </row>
    <row r="195" spans="1:47" ht="43.5">
      <c r="A195" s="1" t="s">
        <v>47</v>
      </c>
      <c r="B195" s="1" t="s">
        <v>144</v>
      </c>
      <c r="C195" s="1" t="s">
        <v>260</v>
      </c>
      <c r="D195" s="1" t="s">
        <v>261</v>
      </c>
      <c r="E195" s="1" t="s">
        <v>458</v>
      </c>
      <c r="F195" s="1" t="s">
        <v>459</v>
      </c>
      <c r="G195" s="1" t="s">
        <v>512</v>
      </c>
      <c r="H195" s="1">
        <v>36</v>
      </c>
      <c r="I195" s="3">
        <v>43074</v>
      </c>
      <c r="J195" s="1">
        <v>-1.5534049999999999</v>
      </c>
      <c r="K195" s="1">
        <v>29.512495999999999</v>
      </c>
      <c r="L195" s="1">
        <v>2520</v>
      </c>
      <c r="M195" s="1" t="s">
        <v>64</v>
      </c>
      <c r="N195" s="1" t="s">
        <v>729</v>
      </c>
      <c r="O195" s="88">
        <f>14*18</f>
        <v>252</v>
      </c>
      <c r="P195" s="1">
        <v>3</v>
      </c>
      <c r="Q195" s="1" t="s">
        <v>150</v>
      </c>
      <c r="R195" s="1" t="s">
        <v>266</v>
      </c>
      <c r="S195" s="1" t="s">
        <v>64</v>
      </c>
      <c r="T195" s="9">
        <v>1</v>
      </c>
      <c r="U195" s="9">
        <f>4/10*100</f>
        <v>40</v>
      </c>
      <c r="V195" s="94">
        <f>AVERAGE(1,0,0,0,0,0,1,0,0,0,0,0,0,0,0,0,0,0,0,0,0,5,0,0,0,0,0,1,0,0,)</f>
        <v>0.25806451612903225</v>
      </c>
      <c r="W195" s="57">
        <v>1</v>
      </c>
      <c r="X195" s="57">
        <f>5/10*100</f>
        <v>50</v>
      </c>
      <c r="Y195" s="104">
        <f>AVERAGE(29,0,0,1,0,15,0,9,3)</f>
        <v>6.333333333333333</v>
      </c>
      <c r="Z195" s="35">
        <v>0</v>
      </c>
      <c r="AA195" s="37" t="s">
        <v>64</v>
      </c>
      <c r="AB195" s="10" t="s">
        <v>84</v>
      </c>
      <c r="AC195" s="11">
        <f>1/10*100</f>
        <v>10</v>
      </c>
      <c r="AD195" s="9">
        <v>0.1</v>
      </c>
      <c r="AE195" s="1" t="s">
        <v>64</v>
      </c>
      <c r="AF195" s="1" t="s">
        <v>92</v>
      </c>
      <c r="AG195" s="1">
        <v>1</v>
      </c>
      <c r="AH195" s="1" t="s">
        <v>64</v>
      </c>
      <c r="AI195" s="1" t="s">
        <v>64</v>
      </c>
      <c r="AJ195" s="9">
        <v>2.36</v>
      </c>
      <c r="AK195" s="9">
        <v>0</v>
      </c>
      <c r="AL195" s="9">
        <v>0</v>
      </c>
      <c r="AM195" s="9">
        <v>0</v>
      </c>
      <c r="AN195" s="9">
        <v>0</v>
      </c>
      <c r="AP195" s="1">
        <v>1</v>
      </c>
      <c r="AQ195" s="1">
        <v>4</v>
      </c>
      <c r="AR195" s="1">
        <v>1</v>
      </c>
      <c r="AS195" s="108">
        <v>4</v>
      </c>
      <c r="AT195" s="1">
        <v>1</v>
      </c>
      <c r="AU195" s="1">
        <f>AVERAGE(1,2,1,2,2,1,2,3,2,1,2,2,1,1,2,2,2,1,1,2)/5*100</f>
        <v>32.999999999999993</v>
      </c>
    </row>
  </sheetData>
  <sortState xmlns:xlrd2="http://schemas.microsoft.com/office/spreadsheetml/2017/richdata2" ref="A2:AU195">
    <sortCondition ref="C2:C195"/>
    <sortCondition ref="B2:B195"/>
    <sortCondition ref="L2:L19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15"/>
  <sheetViews>
    <sheetView workbookViewId="0">
      <pane xSplit="9" ySplit="1" topLeftCell="AO86" activePane="bottomRight" state="frozen"/>
      <selection pane="bottomRight" activeCell="F1" sqref="F1:F1048576"/>
      <selection pane="bottomLeft" activeCell="A2" sqref="A2"/>
      <selection pane="topRight" activeCell="J1" sqref="J1"/>
    </sheetView>
  </sheetViews>
  <sheetFormatPr defaultColWidth="9.5703125" defaultRowHeight="14.45"/>
  <cols>
    <col min="16" max="16" width="9.5703125" style="131"/>
    <col min="19" max="20" width="9.5703125" style="18"/>
    <col min="21" max="28" width="9.5703125" style="16"/>
    <col min="29" max="30" width="9.5703125" style="20"/>
    <col min="31" max="31" width="9.5703125" style="16"/>
    <col min="32" max="33" width="9.5703125" style="20"/>
    <col min="35" max="36" width="9.5703125" style="16"/>
    <col min="39" max="39" width="9.5703125" style="68"/>
  </cols>
  <sheetData>
    <row r="1" spans="1:47" s="4" customFormat="1" ht="58.5" customHeight="1">
      <c r="A1" s="4" t="s">
        <v>0</v>
      </c>
      <c r="B1" s="4" t="s">
        <v>730</v>
      </c>
      <c r="C1" s="4" t="s">
        <v>2</v>
      </c>
      <c r="D1" s="4" t="s">
        <v>731</v>
      </c>
      <c r="E1" s="4" t="s">
        <v>732</v>
      </c>
      <c r="F1" s="4" t="s">
        <v>733</v>
      </c>
      <c r="G1" s="4" t="s">
        <v>734</v>
      </c>
      <c r="H1" s="4" t="s">
        <v>7</v>
      </c>
      <c r="I1" s="4" t="s">
        <v>735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130" t="s">
        <v>14</v>
      </c>
      <c r="Q1" s="4" t="s">
        <v>15</v>
      </c>
      <c r="R1" s="4" t="s">
        <v>18</v>
      </c>
      <c r="S1" s="17" t="s">
        <v>736</v>
      </c>
      <c r="T1" s="17" t="s">
        <v>737</v>
      </c>
      <c r="U1" s="5" t="s">
        <v>738</v>
      </c>
      <c r="V1" s="5" t="s">
        <v>739</v>
      </c>
      <c r="W1" s="5" t="s">
        <v>740</v>
      </c>
      <c r="X1" s="5" t="s">
        <v>741</v>
      </c>
      <c r="Y1" s="5" t="s">
        <v>32</v>
      </c>
      <c r="Z1" s="5" t="s">
        <v>31</v>
      </c>
      <c r="AA1" s="5" t="s">
        <v>742</v>
      </c>
      <c r="AB1" s="5" t="s">
        <v>743</v>
      </c>
      <c r="AC1" s="19" t="s">
        <v>744</v>
      </c>
      <c r="AD1" s="19" t="s">
        <v>745</v>
      </c>
      <c r="AE1" s="19" t="s">
        <v>746</v>
      </c>
      <c r="AF1" s="19" t="s">
        <v>747</v>
      </c>
      <c r="AG1" s="19" t="s">
        <v>748</v>
      </c>
      <c r="AH1" s="4" t="s">
        <v>30</v>
      </c>
      <c r="AI1" s="5" t="s">
        <v>749</v>
      </c>
      <c r="AJ1" s="5" t="s">
        <v>750</v>
      </c>
      <c r="AK1" s="5" t="s">
        <v>751</v>
      </c>
      <c r="AL1" s="5" t="s">
        <v>752</v>
      </c>
      <c r="AM1" s="5" t="s">
        <v>753</v>
      </c>
      <c r="AN1" s="61" t="s">
        <v>754</v>
      </c>
      <c r="AO1" s="61" t="s">
        <v>755</v>
      </c>
      <c r="AP1" s="4" t="s">
        <v>756</v>
      </c>
      <c r="AQ1" s="4" t="s">
        <v>757</v>
      </c>
      <c r="AR1" s="4" t="s">
        <v>758</v>
      </c>
      <c r="AS1" s="69" t="s">
        <v>24</v>
      </c>
      <c r="AT1" s="67" t="s">
        <v>759</v>
      </c>
      <c r="AU1" s="16" t="s">
        <v>760</v>
      </c>
    </row>
    <row r="2" spans="1:47">
      <c r="A2" s="16" t="s">
        <v>761</v>
      </c>
      <c r="B2" t="s">
        <v>48</v>
      </c>
      <c r="C2" s="16" t="s">
        <v>49</v>
      </c>
      <c r="D2" s="16" t="s">
        <v>145</v>
      </c>
      <c r="E2" s="16" t="s">
        <v>762</v>
      </c>
      <c r="F2" s="16" t="s">
        <v>763</v>
      </c>
      <c r="G2" s="16" t="s">
        <v>359</v>
      </c>
      <c r="H2" s="16">
        <v>1</v>
      </c>
      <c r="I2" s="16"/>
      <c r="J2" s="65">
        <v>42328</v>
      </c>
      <c r="K2" s="16">
        <v>-3.2279583999999999</v>
      </c>
      <c r="L2" s="16">
        <v>29.335828800000002</v>
      </c>
      <c r="M2" s="16">
        <v>817</v>
      </c>
      <c r="N2" s="16">
        <v>69557639</v>
      </c>
      <c r="O2" s="16" t="s">
        <v>764</v>
      </c>
      <c r="P2" s="132">
        <v>100</v>
      </c>
      <c r="Q2" s="16">
        <v>5</v>
      </c>
      <c r="R2" s="16" t="s">
        <v>765</v>
      </c>
      <c r="S2" s="16">
        <v>0</v>
      </c>
      <c r="T2" s="16">
        <f>AVERAGE(1)</f>
        <v>1</v>
      </c>
      <c r="U2" s="16">
        <v>1</v>
      </c>
      <c r="V2" s="16">
        <v>5</v>
      </c>
      <c r="W2" s="16">
        <v>0</v>
      </c>
      <c r="X2" s="16" t="s">
        <v>64</v>
      </c>
      <c r="Y2" s="16">
        <v>2</v>
      </c>
      <c r="Z2" s="16" t="s">
        <v>61</v>
      </c>
      <c r="AA2" s="16" t="s">
        <v>766</v>
      </c>
      <c r="AB2" s="16" t="s">
        <v>766</v>
      </c>
      <c r="AC2" s="66">
        <v>0</v>
      </c>
      <c r="AD2" s="20" t="s">
        <v>64</v>
      </c>
      <c r="AE2" s="16" t="s">
        <v>64</v>
      </c>
      <c r="AF2" s="20" t="s">
        <v>64</v>
      </c>
      <c r="AG2" s="20" t="s">
        <v>64</v>
      </c>
      <c r="AH2" s="26" t="s">
        <v>76</v>
      </c>
      <c r="AI2" s="16">
        <v>1</v>
      </c>
      <c r="AJ2" s="16">
        <v>100</v>
      </c>
      <c r="AK2" s="16">
        <f>AVERAGE(4,4,3,3,4,4,4,3,3,2,4,4,4,2,4,2,4,2,4,3)</f>
        <v>3.35</v>
      </c>
      <c r="AL2" s="16">
        <f>(11+13+1+4+5+5+5+10)/(13+15+5+1+2+9+10+8+8+14)*100</f>
        <v>63.529411764705877</v>
      </c>
      <c r="AM2" s="16">
        <f>(13.77-5.39)/13.77*100</f>
        <v>60.856935366739286</v>
      </c>
      <c r="AN2" s="16">
        <v>0</v>
      </c>
      <c r="AO2" s="16">
        <v>0</v>
      </c>
      <c r="AP2" s="16">
        <v>0</v>
      </c>
      <c r="AQ2" s="16">
        <v>1</v>
      </c>
      <c r="AR2" t="s">
        <v>64</v>
      </c>
      <c r="AS2" t="s">
        <v>64</v>
      </c>
      <c r="AT2" s="68"/>
    </row>
    <row r="3" spans="1:47">
      <c r="A3" t="s">
        <v>761</v>
      </c>
      <c r="B3" t="s">
        <v>48</v>
      </c>
      <c r="C3" t="s">
        <v>49</v>
      </c>
      <c r="D3" t="s">
        <v>145</v>
      </c>
      <c r="E3" t="s">
        <v>762</v>
      </c>
      <c r="F3" t="s">
        <v>64</v>
      </c>
      <c r="G3" t="s">
        <v>64</v>
      </c>
      <c r="H3">
        <v>2</v>
      </c>
      <c r="J3" s="15">
        <v>42328</v>
      </c>
      <c r="K3">
        <v>-3.1640700000000002</v>
      </c>
      <c r="L3">
        <v>29.34112</v>
      </c>
      <c r="M3">
        <v>840</v>
      </c>
      <c r="N3" t="s">
        <v>64</v>
      </c>
      <c r="O3" s="18" t="s">
        <v>64</v>
      </c>
      <c r="P3" s="131" t="s">
        <v>64</v>
      </c>
      <c r="Q3" t="s">
        <v>64</v>
      </c>
      <c r="R3" t="s">
        <v>767</v>
      </c>
      <c r="S3" s="18">
        <v>0</v>
      </c>
      <c r="T3" s="18">
        <v>1</v>
      </c>
      <c r="U3" s="16">
        <v>1</v>
      </c>
      <c r="V3" s="16">
        <v>4</v>
      </c>
      <c r="W3" s="16">
        <v>0</v>
      </c>
      <c r="X3" s="16" t="s">
        <v>64</v>
      </c>
      <c r="Y3" s="16" t="s">
        <v>64</v>
      </c>
      <c r="Z3" s="16" t="s">
        <v>64</v>
      </c>
      <c r="AA3" s="16" t="s">
        <v>766</v>
      </c>
      <c r="AB3" s="16" t="s">
        <v>766</v>
      </c>
      <c r="AC3" s="20">
        <v>0</v>
      </c>
      <c r="AD3" s="20" t="s">
        <v>64</v>
      </c>
      <c r="AE3" s="16" t="s">
        <v>64</v>
      </c>
      <c r="AF3" s="20" t="s">
        <v>64</v>
      </c>
      <c r="AG3" s="20" t="s">
        <v>64</v>
      </c>
      <c r="AH3" t="s">
        <v>61</v>
      </c>
      <c r="AI3" s="16">
        <v>0</v>
      </c>
      <c r="AJ3" s="16" t="s">
        <v>64</v>
      </c>
      <c r="AK3" s="16" t="s">
        <v>64</v>
      </c>
      <c r="AL3" s="16" t="s">
        <v>64</v>
      </c>
      <c r="AM3" s="16" t="s">
        <v>64</v>
      </c>
      <c r="AN3" s="16" t="s">
        <v>64</v>
      </c>
      <c r="AO3" s="16" t="s">
        <v>64</v>
      </c>
      <c r="AP3" s="16">
        <v>0</v>
      </c>
      <c r="AQ3" s="127">
        <v>0</v>
      </c>
      <c r="AR3" t="s">
        <v>64</v>
      </c>
      <c r="AS3" t="s">
        <v>64</v>
      </c>
      <c r="AT3" s="68"/>
    </row>
    <row r="4" spans="1:47">
      <c r="A4" t="s">
        <v>761</v>
      </c>
      <c r="B4" t="s">
        <v>48</v>
      </c>
      <c r="C4" t="s">
        <v>49</v>
      </c>
      <c r="D4" t="s">
        <v>145</v>
      </c>
      <c r="E4" t="s">
        <v>768</v>
      </c>
      <c r="F4" t="s">
        <v>768</v>
      </c>
      <c r="G4" t="s">
        <v>768</v>
      </c>
      <c r="H4">
        <v>3</v>
      </c>
      <c r="J4" s="15">
        <v>42331</v>
      </c>
      <c r="K4">
        <v>-3.2469299999999999</v>
      </c>
      <c r="L4">
        <v>29.403680000000001</v>
      </c>
      <c r="M4">
        <v>841</v>
      </c>
      <c r="N4" t="s">
        <v>64</v>
      </c>
      <c r="O4" t="s">
        <v>769</v>
      </c>
      <c r="P4" s="131">
        <f>7*30</f>
        <v>210</v>
      </c>
      <c r="Q4">
        <v>5</v>
      </c>
      <c r="R4" t="s">
        <v>770</v>
      </c>
      <c r="S4" s="18">
        <v>0</v>
      </c>
      <c r="T4" s="18">
        <v>1</v>
      </c>
      <c r="U4" s="16">
        <v>1</v>
      </c>
      <c r="V4" s="16">
        <v>3</v>
      </c>
      <c r="W4" s="16">
        <v>0</v>
      </c>
      <c r="X4" s="16" t="s">
        <v>64</v>
      </c>
      <c r="Y4" s="16">
        <v>1</v>
      </c>
      <c r="Z4" s="16" t="s">
        <v>61</v>
      </c>
      <c r="AA4" s="16" t="s">
        <v>766</v>
      </c>
      <c r="AB4" s="16" t="s">
        <v>766</v>
      </c>
      <c r="AC4" s="20">
        <v>1</v>
      </c>
      <c r="AD4" s="20">
        <v>2</v>
      </c>
      <c r="AE4" s="16" t="s">
        <v>64</v>
      </c>
      <c r="AF4" s="20">
        <v>0</v>
      </c>
      <c r="AG4" s="63" t="s">
        <v>771</v>
      </c>
      <c r="AH4" t="s">
        <v>772</v>
      </c>
      <c r="AI4" s="16">
        <v>1</v>
      </c>
      <c r="AJ4" s="16">
        <v>70</v>
      </c>
      <c r="AK4" s="16">
        <v>1.45</v>
      </c>
      <c r="AL4" s="137">
        <v>0</v>
      </c>
      <c r="AM4" s="137">
        <v>0</v>
      </c>
      <c r="AN4" s="16">
        <v>0</v>
      </c>
      <c r="AO4" s="16">
        <v>0</v>
      </c>
      <c r="AP4" s="16">
        <v>1</v>
      </c>
      <c r="AQ4" s="16">
        <v>1</v>
      </c>
      <c r="AR4" t="s">
        <v>64</v>
      </c>
      <c r="AS4" t="s">
        <v>64</v>
      </c>
      <c r="AT4" s="68"/>
    </row>
    <row r="5" spans="1:47">
      <c r="A5" t="s">
        <v>761</v>
      </c>
      <c r="B5" t="s">
        <v>48</v>
      </c>
      <c r="C5" t="s">
        <v>49</v>
      </c>
      <c r="D5" t="s">
        <v>145</v>
      </c>
      <c r="E5" t="s">
        <v>768</v>
      </c>
      <c r="F5" t="s">
        <v>773</v>
      </c>
      <c r="G5" t="s">
        <v>64</v>
      </c>
      <c r="H5">
        <v>4</v>
      </c>
      <c r="J5" s="15">
        <v>42331</v>
      </c>
      <c r="K5">
        <v>-3.2488199999999998</v>
      </c>
      <c r="L5">
        <v>29.392099999999999</v>
      </c>
      <c r="M5">
        <v>832</v>
      </c>
      <c r="N5" t="s">
        <v>64</v>
      </c>
      <c r="O5" t="s">
        <v>774</v>
      </c>
      <c r="P5" s="131" t="s">
        <v>64</v>
      </c>
      <c r="Q5" t="s">
        <v>64</v>
      </c>
      <c r="R5" t="s">
        <v>765</v>
      </c>
      <c r="S5" s="18">
        <v>0</v>
      </c>
      <c r="T5" s="18">
        <v>1</v>
      </c>
      <c r="U5" s="16">
        <v>1</v>
      </c>
      <c r="V5" s="16">
        <v>4</v>
      </c>
      <c r="W5" s="16">
        <v>0</v>
      </c>
      <c r="X5" s="16" t="s">
        <v>64</v>
      </c>
      <c r="Y5" s="16">
        <v>3</v>
      </c>
      <c r="Z5" s="16" t="s">
        <v>61</v>
      </c>
      <c r="AA5" s="16" t="s">
        <v>766</v>
      </c>
      <c r="AB5" s="16" t="s">
        <v>766</v>
      </c>
      <c r="AC5" s="20">
        <v>1</v>
      </c>
      <c r="AD5" s="20">
        <f>121+39</f>
        <v>160</v>
      </c>
      <c r="AE5" s="16" t="s">
        <v>64</v>
      </c>
      <c r="AF5" s="20">
        <v>1</v>
      </c>
      <c r="AG5" s="20" t="s">
        <v>61</v>
      </c>
      <c r="AH5" t="s">
        <v>772</v>
      </c>
      <c r="AI5" s="16">
        <v>1</v>
      </c>
      <c r="AJ5" s="16">
        <v>100</v>
      </c>
      <c r="AK5" s="16">
        <v>1.85</v>
      </c>
      <c r="AL5" s="16">
        <v>93.88</v>
      </c>
      <c r="AM5" s="16">
        <v>96.49</v>
      </c>
      <c r="AN5" s="16">
        <v>0</v>
      </c>
      <c r="AO5" s="16">
        <v>0</v>
      </c>
      <c r="AP5" s="16">
        <v>1</v>
      </c>
      <c r="AQ5" s="16" t="s">
        <v>64</v>
      </c>
      <c r="AR5" t="s">
        <v>64</v>
      </c>
      <c r="AS5" t="s">
        <v>64</v>
      </c>
      <c r="AT5" s="68"/>
    </row>
    <row r="6" spans="1:47">
      <c r="A6" t="s">
        <v>761</v>
      </c>
      <c r="B6" t="s">
        <v>48</v>
      </c>
      <c r="C6" t="s">
        <v>49</v>
      </c>
      <c r="D6" t="s">
        <v>145</v>
      </c>
      <c r="E6" t="s">
        <v>768</v>
      </c>
      <c r="F6" t="s">
        <v>775</v>
      </c>
      <c r="G6" t="s">
        <v>775</v>
      </c>
      <c r="H6">
        <v>5</v>
      </c>
      <c r="J6" s="15">
        <v>42331</v>
      </c>
      <c r="K6">
        <v>-3.2030341999999998</v>
      </c>
      <c r="L6">
        <v>29.379049299999998</v>
      </c>
      <c r="M6">
        <v>827</v>
      </c>
      <c r="N6">
        <v>79612018</v>
      </c>
      <c r="O6" t="s">
        <v>776</v>
      </c>
      <c r="P6" s="131">
        <v>100</v>
      </c>
      <c r="Q6">
        <v>5</v>
      </c>
      <c r="R6" t="s">
        <v>765</v>
      </c>
      <c r="S6" s="18">
        <v>0</v>
      </c>
      <c r="T6" s="18">
        <v>1</v>
      </c>
      <c r="U6" s="16">
        <v>1</v>
      </c>
      <c r="V6" s="16">
        <v>3</v>
      </c>
      <c r="W6" s="16">
        <v>0</v>
      </c>
      <c r="X6" s="16" t="s">
        <v>64</v>
      </c>
      <c r="Y6" s="16">
        <v>1</v>
      </c>
      <c r="Z6" s="16" t="s">
        <v>61</v>
      </c>
      <c r="AA6" s="16" t="s">
        <v>766</v>
      </c>
      <c r="AB6" s="16" t="s">
        <v>766</v>
      </c>
      <c r="AC6" s="20">
        <v>0</v>
      </c>
      <c r="AD6" s="20" t="s">
        <v>64</v>
      </c>
      <c r="AE6" s="16" t="s">
        <v>64</v>
      </c>
      <c r="AF6" s="20" t="s">
        <v>64</v>
      </c>
      <c r="AG6" s="20" t="s">
        <v>64</v>
      </c>
      <c r="AH6" t="s">
        <v>61</v>
      </c>
      <c r="AI6" s="16">
        <v>1</v>
      </c>
      <c r="AJ6" s="16">
        <v>80</v>
      </c>
      <c r="AK6" s="16">
        <f>(1.4+1.9)/2</f>
        <v>1.65</v>
      </c>
      <c r="AL6" s="137">
        <v>0</v>
      </c>
      <c r="AM6" s="137">
        <v>0</v>
      </c>
      <c r="AN6" s="16">
        <v>0</v>
      </c>
      <c r="AO6" s="16">
        <v>0</v>
      </c>
      <c r="AP6" s="16" t="s">
        <v>64</v>
      </c>
      <c r="AQ6" s="16" t="s">
        <v>64</v>
      </c>
      <c r="AR6" t="s">
        <v>64</v>
      </c>
      <c r="AS6" t="s">
        <v>64</v>
      </c>
      <c r="AT6" s="68"/>
    </row>
    <row r="7" spans="1:47">
      <c r="A7" t="s">
        <v>761</v>
      </c>
      <c r="B7" t="s">
        <v>48</v>
      </c>
      <c r="C7" t="s">
        <v>49</v>
      </c>
      <c r="D7" t="s">
        <v>183</v>
      </c>
      <c r="E7" t="s">
        <v>777</v>
      </c>
      <c r="F7" t="s">
        <v>778</v>
      </c>
      <c r="G7" t="s">
        <v>779</v>
      </c>
      <c r="H7">
        <v>6</v>
      </c>
      <c r="J7" s="15">
        <v>42332</v>
      </c>
      <c r="K7">
        <v>-3.3307924</v>
      </c>
      <c r="L7">
        <v>29.486329999999999</v>
      </c>
      <c r="M7">
        <v>1418</v>
      </c>
      <c r="N7" t="s">
        <v>64</v>
      </c>
      <c r="O7" t="s">
        <v>780</v>
      </c>
      <c r="P7" s="131">
        <f>5*35</f>
        <v>175</v>
      </c>
      <c r="Q7">
        <v>6</v>
      </c>
      <c r="R7" t="s">
        <v>781</v>
      </c>
      <c r="S7" s="18">
        <v>0</v>
      </c>
      <c r="T7" s="18">
        <v>1</v>
      </c>
      <c r="U7" s="16">
        <v>1</v>
      </c>
      <c r="V7" s="16">
        <v>5</v>
      </c>
      <c r="W7" s="16">
        <v>0</v>
      </c>
      <c r="X7" s="16" t="s">
        <v>64</v>
      </c>
      <c r="Y7" s="16">
        <v>0</v>
      </c>
      <c r="Z7" s="16" t="s">
        <v>782</v>
      </c>
      <c r="AA7" s="16" t="s">
        <v>783</v>
      </c>
      <c r="AB7" s="16" t="s">
        <v>766</v>
      </c>
      <c r="AC7" s="20">
        <v>0</v>
      </c>
      <c r="AD7" s="20" t="s">
        <v>64</v>
      </c>
      <c r="AE7" s="16" t="s">
        <v>64</v>
      </c>
      <c r="AF7" s="20" t="s">
        <v>64</v>
      </c>
      <c r="AG7" s="20" t="s">
        <v>64</v>
      </c>
      <c r="AH7" s="20" t="s">
        <v>61</v>
      </c>
      <c r="AI7" s="16">
        <v>1</v>
      </c>
      <c r="AJ7" s="16">
        <v>50</v>
      </c>
      <c r="AK7" s="16">
        <v>1.5</v>
      </c>
      <c r="AL7" s="137">
        <f>3/57*100</f>
        <v>5.2631578947368416</v>
      </c>
      <c r="AM7" s="137">
        <v>3.7</v>
      </c>
      <c r="AN7" s="16">
        <v>0</v>
      </c>
      <c r="AO7" s="16">
        <v>0</v>
      </c>
      <c r="AP7" s="16" t="s">
        <v>64</v>
      </c>
      <c r="AQ7" s="16" t="s">
        <v>64</v>
      </c>
      <c r="AR7" t="s">
        <v>64</v>
      </c>
      <c r="AS7" t="s">
        <v>64</v>
      </c>
      <c r="AT7" s="68">
        <v>6</v>
      </c>
    </row>
    <row r="8" spans="1:47">
      <c r="A8" t="s">
        <v>761</v>
      </c>
      <c r="B8" t="s">
        <v>48</v>
      </c>
      <c r="C8" t="s">
        <v>49</v>
      </c>
      <c r="D8" t="s">
        <v>183</v>
      </c>
      <c r="E8" t="s">
        <v>777</v>
      </c>
      <c r="F8" t="s">
        <v>64</v>
      </c>
      <c r="G8" t="s">
        <v>779</v>
      </c>
      <c r="H8">
        <v>7</v>
      </c>
      <c r="J8" s="15">
        <v>42332</v>
      </c>
      <c r="K8">
        <v>-3.3199239</v>
      </c>
      <c r="L8">
        <v>29.508216900000001</v>
      </c>
      <c r="M8">
        <v>1552</v>
      </c>
      <c r="N8" t="s">
        <v>64</v>
      </c>
      <c r="O8" t="s">
        <v>784</v>
      </c>
      <c r="P8" s="131">
        <f>20*10</f>
        <v>200</v>
      </c>
      <c r="Q8">
        <v>3</v>
      </c>
      <c r="R8" t="s">
        <v>785</v>
      </c>
      <c r="S8" s="18">
        <v>0</v>
      </c>
      <c r="T8" s="18">
        <v>1</v>
      </c>
      <c r="U8" s="16">
        <v>1</v>
      </c>
      <c r="V8" s="16">
        <f>AVERAGE(7,8,7,6,8)</f>
        <v>7.2</v>
      </c>
      <c r="W8" s="16">
        <v>0</v>
      </c>
      <c r="X8" s="16" t="s">
        <v>64</v>
      </c>
      <c r="Y8" s="16">
        <v>0</v>
      </c>
      <c r="Z8" s="16" t="s">
        <v>61</v>
      </c>
      <c r="AA8" s="16" t="s">
        <v>766</v>
      </c>
      <c r="AB8" s="16" t="s">
        <v>766</v>
      </c>
      <c r="AC8" s="20">
        <v>0</v>
      </c>
      <c r="AD8" s="20" t="s">
        <v>64</v>
      </c>
      <c r="AE8" s="16" t="s">
        <v>64</v>
      </c>
      <c r="AF8" s="20" t="s">
        <v>64</v>
      </c>
      <c r="AG8" s="20" t="s">
        <v>64</v>
      </c>
      <c r="AH8" t="s">
        <v>61</v>
      </c>
      <c r="AI8" s="16">
        <v>0</v>
      </c>
      <c r="AJ8" s="16" t="s">
        <v>64</v>
      </c>
      <c r="AK8" s="16" t="s">
        <v>64</v>
      </c>
      <c r="AL8" s="16" t="s">
        <v>64</v>
      </c>
      <c r="AM8" s="16" t="s">
        <v>64</v>
      </c>
      <c r="AN8" s="16" t="s">
        <v>64</v>
      </c>
      <c r="AO8" s="16" t="s">
        <v>64</v>
      </c>
      <c r="AP8" s="16" t="s">
        <v>64</v>
      </c>
      <c r="AQ8" s="16" t="s">
        <v>64</v>
      </c>
      <c r="AR8" t="s">
        <v>64</v>
      </c>
      <c r="AS8" t="s">
        <v>64</v>
      </c>
      <c r="AT8" s="68" t="s">
        <v>786</v>
      </c>
    </row>
    <row r="9" spans="1:47">
      <c r="A9" t="s">
        <v>761</v>
      </c>
      <c r="B9" t="s">
        <v>48</v>
      </c>
      <c r="C9" t="s">
        <v>49</v>
      </c>
      <c r="D9" t="s">
        <v>183</v>
      </c>
      <c r="E9" t="s">
        <v>777</v>
      </c>
      <c r="F9" t="s">
        <v>787</v>
      </c>
      <c r="G9" t="s">
        <v>779</v>
      </c>
      <c r="H9">
        <v>8</v>
      </c>
      <c r="J9" s="15">
        <v>42698</v>
      </c>
      <c r="K9">
        <v>-3.3031836000000001</v>
      </c>
      <c r="L9">
        <v>29.516326899999999</v>
      </c>
      <c r="M9">
        <v>1715</v>
      </c>
      <c r="N9">
        <v>79202806</v>
      </c>
      <c r="O9" t="s">
        <v>788</v>
      </c>
      <c r="P9" s="131">
        <f>10*15</f>
        <v>150</v>
      </c>
      <c r="Q9">
        <v>11</v>
      </c>
      <c r="R9" t="s">
        <v>781</v>
      </c>
      <c r="S9" s="18">
        <v>0</v>
      </c>
      <c r="T9" s="18">
        <v>1</v>
      </c>
      <c r="U9" s="16">
        <v>1</v>
      </c>
      <c r="V9" s="16">
        <f>AVERAGE(5,6,6,7)</f>
        <v>6</v>
      </c>
      <c r="W9" s="16">
        <v>0</v>
      </c>
      <c r="X9" s="16" t="s">
        <v>64</v>
      </c>
      <c r="Y9" s="16">
        <v>0</v>
      </c>
      <c r="Z9" s="16" t="s">
        <v>61</v>
      </c>
      <c r="AA9" s="16" t="s">
        <v>766</v>
      </c>
      <c r="AB9" s="16" t="s">
        <v>766</v>
      </c>
      <c r="AC9" s="20">
        <v>0</v>
      </c>
      <c r="AD9" s="20" t="s">
        <v>64</v>
      </c>
      <c r="AE9" s="16" t="s">
        <v>64</v>
      </c>
      <c r="AF9" s="20" t="s">
        <v>64</v>
      </c>
      <c r="AG9" s="20" t="s">
        <v>64</v>
      </c>
      <c r="AH9" t="s">
        <v>61</v>
      </c>
      <c r="AI9" s="16">
        <v>1</v>
      </c>
      <c r="AJ9" s="16">
        <v>100</v>
      </c>
      <c r="AK9" s="16">
        <v>3.2</v>
      </c>
      <c r="AL9" s="16">
        <v>70.59</v>
      </c>
      <c r="AM9" s="16">
        <v>49.72</v>
      </c>
      <c r="AN9">
        <v>0</v>
      </c>
      <c r="AO9">
        <v>0</v>
      </c>
      <c r="AP9" s="16" t="s">
        <v>64</v>
      </c>
      <c r="AQ9" s="16" t="s">
        <v>64</v>
      </c>
      <c r="AR9" t="s">
        <v>64</v>
      </c>
      <c r="AS9" t="s">
        <v>64</v>
      </c>
      <c r="AT9" s="68" t="s">
        <v>789</v>
      </c>
    </row>
    <row r="10" spans="1:47">
      <c r="A10" t="s">
        <v>761</v>
      </c>
      <c r="B10" t="s">
        <v>48</v>
      </c>
      <c r="C10" t="s">
        <v>49</v>
      </c>
      <c r="D10" t="s">
        <v>183</v>
      </c>
      <c r="E10" t="s">
        <v>777</v>
      </c>
      <c r="F10" t="s">
        <v>790</v>
      </c>
      <c r="G10" t="s">
        <v>777</v>
      </c>
      <c r="H10">
        <v>9</v>
      </c>
      <c r="J10" s="15">
        <v>42332</v>
      </c>
      <c r="K10">
        <v>-3.2873540000000001</v>
      </c>
      <c r="L10">
        <v>29.5077648</v>
      </c>
      <c r="M10">
        <v>1740</v>
      </c>
      <c r="N10" t="s">
        <v>64</v>
      </c>
      <c r="O10" t="s">
        <v>791</v>
      </c>
      <c r="P10" s="131">
        <f>10*50</f>
        <v>500</v>
      </c>
      <c r="Q10">
        <v>6</v>
      </c>
      <c r="R10" t="s">
        <v>792</v>
      </c>
      <c r="S10" s="18">
        <v>1</v>
      </c>
      <c r="T10" s="18">
        <v>4</v>
      </c>
      <c r="U10" s="16">
        <v>1</v>
      </c>
      <c r="V10" s="16">
        <f>AVERAGE(7,7,7,7,7,6)</f>
        <v>6.833333333333333</v>
      </c>
      <c r="W10" s="16">
        <v>0</v>
      </c>
      <c r="X10" s="16" t="s">
        <v>64</v>
      </c>
      <c r="Y10" s="16">
        <v>0</v>
      </c>
      <c r="Z10" s="16" t="s">
        <v>61</v>
      </c>
      <c r="AA10" s="16" t="s">
        <v>766</v>
      </c>
      <c r="AB10" s="16" t="s">
        <v>766</v>
      </c>
      <c r="AC10" s="20">
        <v>0</v>
      </c>
      <c r="AD10" s="20" t="s">
        <v>64</v>
      </c>
      <c r="AE10" s="16" t="s">
        <v>64</v>
      </c>
      <c r="AF10" s="20" t="s">
        <v>64</v>
      </c>
      <c r="AG10" s="20" t="s">
        <v>64</v>
      </c>
      <c r="AH10" t="s">
        <v>61</v>
      </c>
      <c r="AI10" s="16">
        <v>1</v>
      </c>
      <c r="AJ10" s="16" t="s">
        <v>64</v>
      </c>
      <c r="AK10" s="16" t="s">
        <v>64</v>
      </c>
      <c r="AL10" s="16" t="s">
        <v>64</v>
      </c>
      <c r="AM10" s="16" t="s">
        <v>64</v>
      </c>
      <c r="AN10">
        <v>1</v>
      </c>
      <c r="AO10">
        <v>0</v>
      </c>
      <c r="AP10" s="16" t="s">
        <v>64</v>
      </c>
      <c r="AQ10" s="16" t="s">
        <v>64</v>
      </c>
      <c r="AR10" t="s">
        <v>64</v>
      </c>
      <c r="AS10" t="s">
        <v>64</v>
      </c>
      <c r="AT10" s="68" t="s">
        <v>786</v>
      </c>
    </row>
    <row r="11" spans="1:47">
      <c r="A11" t="s">
        <v>761</v>
      </c>
      <c r="B11" t="s">
        <v>48</v>
      </c>
      <c r="C11" t="s">
        <v>49</v>
      </c>
      <c r="D11" t="s">
        <v>183</v>
      </c>
      <c r="E11" t="s">
        <v>777</v>
      </c>
      <c r="F11" t="s">
        <v>777</v>
      </c>
      <c r="G11" t="s">
        <v>777</v>
      </c>
      <c r="H11">
        <v>10</v>
      </c>
      <c r="J11" s="15">
        <v>42332</v>
      </c>
      <c r="K11">
        <v>-3.2845589999999998</v>
      </c>
      <c r="L11">
        <v>29.493341399999998</v>
      </c>
      <c r="M11">
        <v>1713</v>
      </c>
      <c r="N11" t="s">
        <v>64</v>
      </c>
      <c r="O11" t="s">
        <v>793</v>
      </c>
      <c r="P11" s="131">
        <f>10*40</f>
        <v>400</v>
      </c>
      <c r="Q11">
        <v>4</v>
      </c>
      <c r="R11" t="s">
        <v>794</v>
      </c>
      <c r="S11" s="18">
        <v>0</v>
      </c>
      <c r="T11" s="18">
        <v>1</v>
      </c>
      <c r="U11" s="16">
        <v>1</v>
      </c>
      <c r="V11" s="16">
        <f>AVERAGE(4,4,4,4,3)</f>
        <v>3.8</v>
      </c>
      <c r="W11" s="16">
        <v>0</v>
      </c>
      <c r="X11" s="16" t="s">
        <v>64</v>
      </c>
      <c r="Y11" s="16">
        <v>0</v>
      </c>
      <c r="Z11" s="16" t="s">
        <v>795</v>
      </c>
      <c r="AA11" s="16" t="s">
        <v>766</v>
      </c>
      <c r="AB11" s="16" t="s">
        <v>766</v>
      </c>
      <c r="AC11" s="20">
        <v>0</v>
      </c>
      <c r="AD11" s="20" t="s">
        <v>64</v>
      </c>
      <c r="AE11" s="16" t="s">
        <v>64</v>
      </c>
      <c r="AF11" s="20" t="s">
        <v>64</v>
      </c>
      <c r="AG11" s="20" t="s">
        <v>64</v>
      </c>
      <c r="AH11" s="26" t="s">
        <v>76</v>
      </c>
      <c r="AI11" s="16">
        <v>1</v>
      </c>
      <c r="AJ11" s="16">
        <v>20</v>
      </c>
      <c r="AK11" s="16">
        <v>1.2</v>
      </c>
      <c r="AL11" s="137">
        <v>89.47</v>
      </c>
      <c r="AM11" s="137">
        <v>87.13</v>
      </c>
      <c r="AN11" s="16">
        <v>0</v>
      </c>
      <c r="AO11" s="16">
        <v>0</v>
      </c>
      <c r="AP11" s="16" t="s">
        <v>64</v>
      </c>
      <c r="AQ11" s="16" t="s">
        <v>64</v>
      </c>
      <c r="AR11" t="s">
        <v>64</v>
      </c>
      <c r="AS11" t="s">
        <v>64</v>
      </c>
      <c r="AT11" s="68" t="s">
        <v>796</v>
      </c>
    </row>
    <row r="12" spans="1:47">
      <c r="A12" t="s">
        <v>761</v>
      </c>
      <c r="B12" t="s">
        <v>48</v>
      </c>
      <c r="C12" t="s">
        <v>49</v>
      </c>
      <c r="D12" t="s">
        <v>183</v>
      </c>
      <c r="E12" t="s">
        <v>797</v>
      </c>
      <c r="F12" t="s">
        <v>798</v>
      </c>
      <c r="G12" t="s">
        <v>799</v>
      </c>
      <c r="H12">
        <v>11</v>
      </c>
      <c r="J12" s="15">
        <v>42333</v>
      </c>
      <c r="K12">
        <v>-3.3343474999999998</v>
      </c>
      <c r="L12">
        <v>29.469253500000001</v>
      </c>
      <c r="M12">
        <v>1570</v>
      </c>
      <c r="N12" t="s">
        <v>64</v>
      </c>
      <c r="O12" t="s">
        <v>800</v>
      </c>
      <c r="P12" s="131">
        <f>30*30</f>
        <v>900</v>
      </c>
      <c r="Q12">
        <v>12</v>
      </c>
      <c r="R12" t="s">
        <v>801</v>
      </c>
      <c r="S12" s="18">
        <v>0</v>
      </c>
      <c r="T12" s="18">
        <v>1</v>
      </c>
      <c r="U12" s="16">
        <v>1</v>
      </c>
      <c r="V12" s="16">
        <f>AVERAGE(5,4,5,4,2)</f>
        <v>4</v>
      </c>
      <c r="W12" s="16">
        <v>0</v>
      </c>
      <c r="X12" s="16" t="s">
        <v>64</v>
      </c>
      <c r="Y12" s="16">
        <v>1</v>
      </c>
      <c r="Z12" s="16" t="s">
        <v>782</v>
      </c>
      <c r="AA12" s="16" t="s">
        <v>766</v>
      </c>
      <c r="AB12" s="16" t="s">
        <v>766</v>
      </c>
      <c r="AC12" s="20">
        <v>0</v>
      </c>
      <c r="AD12" s="20" t="s">
        <v>64</v>
      </c>
      <c r="AE12" s="16" t="s">
        <v>64</v>
      </c>
      <c r="AF12" s="20" t="s">
        <v>64</v>
      </c>
      <c r="AG12" s="20" t="s">
        <v>64</v>
      </c>
      <c r="AH12" t="s">
        <v>61</v>
      </c>
      <c r="AI12" s="16">
        <v>1</v>
      </c>
      <c r="AJ12" s="16">
        <f>1/5*100</f>
        <v>20</v>
      </c>
      <c r="AK12" s="16">
        <f>6/5</f>
        <v>1.2</v>
      </c>
      <c r="AL12" s="58">
        <f>3/18*100</f>
        <v>16.666666666666664</v>
      </c>
      <c r="AM12" s="137">
        <v>25</v>
      </c>
      <c r="AN12" s="16">
        <v>0</v>
      </c>
      <c r="AO12" s="16">
        <v>0</v>
      </c>
      <c r="AP12" s="16" t="s">
        <v>64</v>
      </c>
      <c r="AQ12" s="16" t="s">
        <v>64</v>
      </c>
      <c r="AR12" t="s">
        <v>64</v>
      </c>
      <c r="AS12" t="s">
        <v>64</v>
      </c>
      <c r="AT12" s="68" t="s">
        <v>802</v>
      </c>
    </row>
    <row r="13" spans="1:47">
      <c r="A13" t="s">
        <v>761</v>
      </c>
      <c r="B13" t="s">
        <v>48</v>
      </c>
      <c r="C13" t="s">
        <v>49</v>
      </c>
      <c r="D13" t="s">
        <v>183</v>
      </c>
      <c r="E13" t="s">
        <v>797</v>
      </c>
      <c r="F13" t="s">
        <v>798</v>
      </c>
      <c r="G13" t="s">
        <v>799</v>
      </c>
      <c r="H13">
        <v>12</v>
      </c>
      <c r="J13" s="15">
        <v>42333</v>
      </c>
      <c r="K13">
        <v>-3.3391457</v>
      </c>
      <c r="L13">
        <v>29.480659500000002</v>
      </c>
      <c r="M13">
        <v>1640</v>
      </c>
      <c r="N13" t="s">
        <v>64</v>
      </c>
      <c r="O13" t="s">
        <v>803</v>
      </c>
      <c r="P13" s="131">
        <f>10*50</f>
        <v>500</v>
      </c>
      <c r="Q13">
        <v>7</v>
      </c>
      <c r="R13" t="s">
        <v>781</v>
      </c>
      <c r="S13" s="18">
        <v>0</v>
      </c>
      <c r="T13" s="18">
        <v>1</v>
      </c>
      <c r="U13" s="16">
        <v>1</v>
      </c>
      <c r="V13" s="16">
        <f>AVERAGE(6,6,7,7)</f>
        <v>6.5</v>
      </c>
      <c r="W13" s="16">
        <v>0</v>
      </c>
      <c r="X13" s="16" t="s">
        <v>64</v>
      </c>
      <c r="Y13" s="16">
        <v>1</v>
      </c>
      <c r="Z13" s="16" t="s">
        <v>61</v>
      </c>
      <c r="AA13" s="16" t="s">
        <v>766</v>
      </c>
      <c r="AB13" s="16" t="s">
        <v>766</v>
      </c>
      <c r="AC13" s="20">
        <v>0</v>
      </c>
      <c r="AD13" s="20" t="s">
        <v>64</v>
      </c>
      <c r="AE13" s="16" t="s">
        <v>64</v>
      </c>
      <c r="AF13" s="20" t="s">
        <v>64</v>
      </c>
      <c r="AG13" s="20" t="s">
        <v>64</v>
      </c>
      <c r="AH13" t="s">
        <v>61</v>
      </c>
      <c r="AI13" s="16">
        <v>1</v>
      </c>
      <c r="AJ13" s="16">
        <v>80</v>
      </c>
      <c r="AK13" s="16">
        <v>2.4</v>
      </c>
      <c r="AL13" s="16">
        <v>74.47</v>
      </c>
      <c r="AM13" s="16">
        <v>67.67</v>
      </c>
      <c r="AN13" s="16">
        <v>0</v>
      </c>
      <c r="AO13" s="16">
        <v>0</v>
      </c>
      <c r="AP13">
        <v>1</v>
      </c>
      <c r="AQ13" s="16" t="s">
        <v>64</v>
      </c>
      <c r="AR13" t="s">
        <v>64</v>
      </c>
      <c r="AS13" t="s">
        <v>64</v>
      </c>
      <c r="AT13" s="68" t="s">
        <v>804</v>
      </c>
    </row>
    <row r="14" spans="1:47">
      <c r="A14" t="s">
        <v>761</v>
      </c>
      <c r="B14" t="s">
        <v>48</v>
      </c>
      <c r="C14" t="s">
        <v>49</v>
      </c>
      <c r="D14" t="s">
        <v>183</v>
      </c>
      <c r="E14" t="s">
        <v>797</v>
      </c>
      <c r="F14" t="s">
        <v>348</v>
      </c>
      <c r="G14" s="60" t="s">
        <v>797</v>
      </c>
      <c r="H14">
        <v>13</v>
      </c>
      <c r="J14" s="15">
        <v>42333</v>
      </c>
      <c r="K14">
        <v>-3.3548737000000002</v>
      </c>
      <c r="L14">
        <v>29.503177600000001</v>
      </c>
      <c r="M14">
        <v>1812</v>
      </c>
      <c r="N14" t="s">
        <v>64</v>
      </c>
      <c r="O14" t="s">
        <v>805</v>
      </c>
      <c r="P14" s="134">
        <f>12*23</f>
        <v>276</v>
      </c>
      <c r="Q14">
        <v>6</v>
      </c>
      <c r="R14" t="s">
        <v>806</v>
      </c>
      <c r="S14" s="18">
        <v>1</v>
      </c>
      <c r="T14" s="18">
        <f>AVERAGE(7,7,8,7,8)</f>
        <v>7.4</v>
      </c>
      <c r="U14" s="16">
        <v>1</v>
      </c>
      <c r="V14" s="16">
        <f>AVERAGE(5,7,7,6)</f>
        <v>6.25</v>
      </c>
      <c r="W14" s="16">
        <v>0</v>
      </c>
      <c r="X14" s="16" t="s">
        <v>64</v>
      </c>
      <c r="Y14" s="16">
        <v>1</v>
      </c>
      <c r="Z14" s="16" t="s">
        <v>61</v>
      </c>
      <c r="AA14" s="16" t="s">
        <v>766</v>
      </c>
      <c r="AB14" s="16" t="s">
        <v>766</v>
      </c>
      <c r="AC14" s="20">
        <v>0</v>
      </c>
      <c r="AD14" s="20" t="s">
        <v>64</v>
      </c>
      <c r="AE14" s="16" t="s">
        <v>64</v>
      </c>
      <c r="AF14" s="20" t="s">
        <v>64</v>
      </c>
      <c r="AG14" s="20" t="s">
        <v>64</v>
      </c>
      <c r="AH14" s="26" t="s">
        <v>76</v>
      </c>
      <c r="AI14" s="16">
        <v>1</v>
      </c>
      <c r="AJ14" s="16">
        <v>80</v>
      </c>
      <c r="AK14" s="16">
        <v>1.7</v>
      </c>
      <c r="AL14" s="137">
        <v>65.38</v>
      </c>
      <c r="AM14" s="137">
        <v>54.36</v>
      </c>
      <c r="AN14" s="16">
        <v>0</v>
      </c>
      <c r="AO14" s="16">
        <v>0</v>
      </c>
      <c r="AP14" s="16" t="s">
        <v>64</v>
      </c>
      <c r="AQ14" s="16" t="s">
        <v>64</v>
      </c>
      <c r="AR14" t="s">
        <v>64</v>
      </c>
      <c r="AS14" t="s">
        <v>64</v>
      </c>
      <c r="AT14" s="68" t="s">
        <v>807</v>
      </c>
    </row>
    <row r="15" spans="1:47">
      <c r="A15" t="s">
        <v>761</v>
      </c>
      <c r="B15" t="s">
        <v>48</v>
      </c>
      <c r="C15" t="s">
        <v>49</v>
      </c>
      <c r="D15" t="s">
        <v>183</v>
      </c>
      <c r="E15" t="s">
        <v>70</v>
      </c>
      <c r="F15" t="s">
        <v>64</v>
      </c>
      <c r="G15" t="s">
        <v>64</v>
      </c>
      <c r="H15">
        <v>14</v>
      </c>
      <c r="J15" s="15">
        <v>42333</v>
      </c>
      <c r="K15">
        <v>-3.3758433000000001</v>
      </c>
      <c r="L15">
        <v>29.527591699999999</v>
      </c>
      <c r="M15">
        <v>2113</v>
      </c>
      <c r="N15">
        <v>68276074</v>
      </c>
      <c r="O15" t="s">
        <v>808</v>
      </c>
      <c r="P15" s="131">
        <f>18*20</f>
        <v>360</v>
      </c>
      <c r="Q15">
        <v>12</v>
      </c>
      <c r="R15" t="s">
        <v>809</v>
      </c>
      <c r="S15" s="18">
        <v>1</v>
      </c>
      <c r="T15" s="18">
        <f>AVERAGE(6)</f>
        <v>6</v>
      </c>
      <c r="U15" s="16">
        <v>1</v>
      </c>
      <c r="V15" s="16">
        <v>6</v>
      </c>
      <c r="W15" s="16">
        <v>0</v>
      </c>
      <c r="X15" s="16" t="s">
        <v>64</v>
      </c>
      <c r="Y15" s="16">
        <v>2</v>
      </c>
      <c r="Z15" s="16" t="s">
        <v>61</v>
      </c>
      <c r="AA15" s="16" t="s">
        <v>766</v>
      </c>
      <c r="AB15" s="16" t="s">
        <v>766</v>
      </c>
      <c r="AC15" s="20">
        <v>0</v>
      </c>
      <c r="AD15" s="20" t="s">
        <v>64</v>
      </c>
      <c r="AE15" s="16" t="s">
        <v>64</v>
      </c>
      <c r="AF15" s="20" t="s">
        <v>64</v>
      </c>
      <c r="AG15" s="20" t="s">
        <v>64</v>
      </c>
      <c r="AH15" t="s">
        <v>61</v>
      </c>
      <c r="AI15" s="16">
        <v>0</v>
      </c>
      <c r="AJ15" s="16" t="s">
        <v>64</v>
      </c>
      <c r="AK15" s="16" t="s">
        <v>64</v>
      </c>
      <c r="AL15" s="16" t="s">
        <v>64</v>
      </c>
      <c r="AM15" s="16" t="s">
        <v>64</v>
      </c>
      <c r="AN15" s="16" t="s">
        <v>64</v>
      </c>
      <c r="AO15" s="16" t="s">
        <v>64</v>
      </c>
      <c r="AP15" s="16" t="s">
        <v>64</v>
      </c>
      <c r="AQ15" s="16" t="s">
        <v>64</v>
      </c>
      <c r="AR15" t="s">
        <v>64</v>
      </c>
      <c r="AS15" t="s">
        <v>64</v>
      </c>
      <c r="AT15" s="68" t="s">
        <v>810</v>
      </c>
    </row>
    <row r="16" spans="1:47">
      <c r="A16" t="s">
        <v>761</v>
      </c>
      <c r="B16" t="s">
        <v>48</v>
      </c>
      <c r="C16" t="s">
        <v>49</v>
      </c>
      <c r="D16" t="s">
        <v>183</v>
      </c>
      <c r="E16" t="s">
        <v>797</v>
      </c>
      <c r="F16" t="s">
        <v>811</v>
      </c>
      <c r="G16" t="s">
        <v>797</v>
      </c>
      <c r="H16">
        <v>15</v>
      </c>
      <c r="J16" s="15">
        <v>42333</v>
      </c>
      <c r="K16">
        <v>-3.3521646999999999</v>
      </c>
      <c r="L16">
        <v>29.526628500000001</v>
      </c>
      <c r="M16">
        <v>2038</v>
      </c>
      <c r="N16">
        <v>79469222</v>
      </c>
      <c r="O16" t="s">
        <v>812</v>
      </c>
      <c r="P16" s="131">
        <f>18*19</f>
        <v>342</v>
      </c>
      <c r="Q16">
        <v>6</v>
      </c>
      <c r="R16" t="s">
        <v>781</v>
      </c>
      <c r="S16" s="18">
        <v>1</v>
      </c>
      <c r="T16" s="18">
        <f>AVERAGE(3,1,1,1,1)</f>
        <v>1.4</v>
      </c>
      <c r="U16" s="16">
        <v>1</v>
      </c>
      <c r="V16" s="16">
        <f>AVERAGE(7,7,6,6,7)</f>
        <v>6.6</v>
      </c>
      <c r="W16" s="16">
        <v>0</v>
      </c>
      <c r="X16" s="16" t="s">
        <v>64</v>
      </c>
      <c r="Y16" s="16">
        <v>4</v>
      </c>
      <c r="Z16" s="16" t="s">
        <v>61</v>
      </c>
      <c r="AA16" s="16" t="s">
        <v>766</v>
      </c>
      <c r="AB16" s="16" t="s">
        <v>766</v>
      </c>
      <c r="AC16" s="20">
        <v>0</v>
      </c>
      <c r="AD16" s="20" t="s">
        <v>64</v>
      </c>
      <c r="AE16" s="16" t="s">
        <v>64</v>
      </c>
      <c r="AF16" s="20" t="s">
        <v>64</v>
      </c>
      <c r="AG16" s="20" t="s">
        <v>64</v>
      </c>
      <c r="AH16" t="s">
        <v>61</v>
      </c>
      <c r="AI16" s="16">
        <v>1</v>
      </c>
      <c r="AJ16" s="16">
        <v>90</v>
      </c>
      <c r="AK16" s="16">
        <v>2.1</v>
      </c>
      <c r="AL16" s="16">
        <v>27.66</v>
      </c>
      <c r="AM16" s="16">
        <v>25.11</v>
      </c>
      <c r="AN16" s="16">
        <v>0</v>
      </c>
      <c r="AO16" s="16">
        <v>0</v>
      </c>
      <c r="AP16" s="16" t="s">
        <v>64</v>
      </c>
      <c r="AQ16" s="16" t="s">
        <v>64</v>
      </c>
      <c r="AR16" t="s">
        <v>64</v>
      </c>
      <c r="AS16" t="s">
        <v>64</v>
      </c>
      <c r="AT16" s="68" t="s">
        <v>813</v>
      </c>
    </row>
    <row r="17" spans="1:46">
      <c r="A17" t="s">
        <v>761</v>
      </c>
      <c r="B17" t="s">
        <v>48</v>
      </c>
      <c r="C17" t="s">
        <v>49</v>
      </c>
      <c r="D17" t="s">
        <v>183</v>
      </c>
      <c r="E17" t="s">
        <v>814</v>
      </c>
      <c r="F17" t="s">
        <v>815</v>
      </c>
      <c r="G17" t="s">
        <v>815</v>
      </c>
      <c r="H17">
        <v>16</v>
      </c>
      <c r="J17" s="15">
        <v>42334</v>
      </c>
      <c r="K17">
        <v>-3.4172625999999999</v>
      </c>
      <c r="L17">
        <v>29.4079151</v>
      </c>
      <c r="M17">
        <v>1317</v>
      </c>
      <c r="N17" t="s">
        <v>64</v>
      </c>
      <c r="O17" t="s">
        <v>816</v>
      </c>
      <c r="P17" s="131">
        <f>36*5</f>
        <v>180</v>
      </c>
      <c r="Q17">
        <v>13</v>
      </c>
      <c r="R17" t="s">
        <v>817</v>
      </c>
      <c r="S17" s="18">
        <v>0</v>
      </c>
      <c r="T17" s="18">
        <v>1</v>
      </c>
      <c r="U17" s="16">
        <v>1</v>
      </c>
      <c r="V17" s="16">
        <f>AVERAGE(3,3,3,5,7)</f>
        <v>4.2</v>
      </c>
      <c r="W17" s="16">
        <v>0</v>
      </c>
      <c r="X17" s="16" t="s">
        <v>64</v>
      </c>
      <c r="Y17" s="16">
        <v>1</v>
      </c>
      <c r="Z17" s="16" t="s">
        <v>782</v>
      </c>
      <c r="AA17" s="16" t="s">
        <v>766</v>
      </c>
      <c r="AB17" s="16" t="s">
        <v>766</v>
      </c>
      <c r="AC17" s="20">
        <v>0</v>
      </c>
      <c r="AD17" s="20" t="s">
        <v>64</v>
      </c>
      <c r="AE17" s="16" t="s">
        <v>64</v>
      </c>
      <c r="AF17" s="20" t="s">
        <v>64</v>
      </c>
      <c r="AG17" s="20" t="s">
        <v>64</v>
      </c>
      <c r="AH17" s="26" t="s">
        <v>76</v>
      </c>
      <c r="AI17" s="16">
        <v>1</v>
      </c>
      <c r="AJ17" s="16">
        <v>60</v>
      </c>
      <c r="AK17" s="16">
        <v>1.4</v>
      </c>
      <c r="AL17" s="137">
        <v>11.11</v>
      </c>
      <c r="AM17" s="137">
        <v>7.89</v>
      </c>
      <c r="AN17" s="16">
        <v>0</v>
      </c>
      <c r="AO17" s="16">
        <v>0</v>
      </c>
      <c r="AP17" s="16" t="s">
        <v>64</v>
      </c>
      <c r="AQ17" s="16" t="s">
        <v>64</v>
      </c>
      <c r="AR17" t="s">
        <v>64</v>
      </c>
      <c r="AS17" t="s">
        <v>64</v>
      </c>
      <c r="AT17" s="68" t="s">
        <v>818</v>
      </c>
    </row>
    <row r="18" spans="1:46">
      <c r="A18" t="s">
        <v>761</v>
      </c>
      <c r="B18" t="s">
        <v>48</v>
      </c>
      <c r="C18" t="s">
        <v>49</v>
      </c>
      <c r="D18" t="s">
        <v>183</v>
      </c>
      <c r="E18" t="s">
        <v>814</v>
      </c>
      <c r="F18" t="s">
        <v>819</v>
      </c>
      <c r="G18" t="s">
        <v>815</v>
      </c>
      <c r="H18">
        <v>17</v>
      </c>
      <c r="J18" s="15">
        <v>42334</v>
      </c>
      <c r="K18">
        <v>-3.4140340999999998</v>
      </c>
      <c r="L18">
        <v>29.405735</v>
      </c>
      <c r="M18">
        <v>1264</v>
      </c>
      <c r="N18">
        <v>71235548</v>
      </c>
      <c r="O18" t="s">
        <v>820</v>
      </c>
      <c r="P18" s="131">
        <f>10*30</f>
        <v>300</v>
      </c>
      <c r="Q18">
        <v>9</v>
      </c>
      <c r="R18" t="s">
        <v>781</v>
      </c>
      <c r="S18" s="18">
        <v>0</v>
      </c>
      <c r="T18" s="18">
        <v>1</v>
      </c>
      <c r="U18" s="16">
        <v>1</v>
      </c>
      <c r="V18" s="16">
        <f>AVERAGE(3,2,3)</f>
        <v>2.6666666666666665</v>
      </c>
      <c r="W18" s="16">
        <v>0</v>
      </c>
      <c r="X18" s="16" t="s">
        <v>64</v>
      </c>
      <c r="Y18" s="16">
        <v>0</v>
      </c>
      <c r="Z18" s="16" t="s">
        <v>782</v>
      </c>
      <c r="AA18" s="16" t="s">
        <v>766</v>
      </c>
      <c r="AB18" s="16" t="s">
        <v>766</v>
      </c>
      <c r="AC18" s="20">
        <v>0</v>
      </c>
      <c r="AD18" s="20" t="s">
        <v>64</v>
      </c>
      <c r="AE18" s="16" t="s">
        <v>64</v>
      </c>
      <c r="AF18" s="20" t="s">
        <v>64</v>
      </c>
      <c r="AG18" s="20" t="s">
        <v>64</v>
      </c>
      <c r="AH18" s="26" t="s">
        <v>76</v>
      </c>
      <c r="AI18" s="16">
        <v>0</v>
      </c>
      <c r="AJ18" s="16" t="s">
        <v>64</v>
      </c>
      <c r="AK18" s="16" t="s">
        <v>64</v>
      </c>
      <c r="AL18" s="16" t="s">
        <v>64</v>
      </c>
      <c r="AM18" s="16" t="s">
        <v>64</v>
      </c>
      <c r="AN18" s="16" t="s">
        <v>64</v>
      </c>
      <c r="AO18" s="16" t="s">
        <v>64</v>
      </c>
      <c r="AP18">
        <v>1</v>
      </c>
      <c r="AQ18" s="16" t="s">
        <v>64</v>
      </c>
      <c r="AR18" t="s">
        <v>64</v>
      </c>
      <c r="AS18" t="s">
        <v>64</v>
      </c>
      <c r="AT18" s="68" t="s">
        <v>821</v>
      </c>
    </row>
    <row r="19" spans="1:46">
      <c r="A19" t="s">
        <v>761</v>
      </c>
      <c r="B19" t="s">
        <v>48</v>
      </c>
      <c r="C19" t="s">
        <v>49</v>
      </c>
      <c r="D19" t="s">
        <v>183</v>
      </c>
      <c r="E19" t="s">
        <v>814</v>
      </c>
      <c r="F19" t="s">
        <v>822</v>
      </c>
      <c r="G19" t="s">
        <v>814</v>
      </c>
      <c r="H19">
        <v>18</v>
      </c>
      <c r="J19" s="15">
        <v>42334</v>
      </c>
      <c r="K19">
        <v>-3.4318241999999999</v>
      </c>
      <c r="L19">
        <v>29.4274235</v>
      </c>
      <c r="M19">
        <v>1393</v>
      </c>
      <c r="N19" t="s">
        <v>64</v>
      </c>
      <c r="O19" t="s">
        <v>823</v>
      </c>
      <c r="P19" s="131">
        <v>150</v>
      </c>
      <c r="Q19">
        <v>6</v>
      </c>
      <c r="R19" t="s">
        <v>781</v>
      </c>
      <c r="S19" s="18">
        <v>1</v>
      </c>
      <c r="T19" s="18">
        <f>AVERAGE(3,3,3,3,3)</f>
        <v>3</v>
      </c>
      <c r="U19" s="16">
        <v>1</v>
      </c>
      <c r="V19" s="16">
        <f>AVERAGE(8,5,8,7,7)</f>
        <v>7</v>
      </c>
      <c r="W19" s="16">
        <v>0</v>
      </c>
      <c r="X19" s="16" t="s">
        <v>64</v>
      </c>
      <c r="Y19" s="16">
        <v>0</v>
      </c>
      <c r="Z19" s="16" t="s">
        <v>61</v>
      </c>
      <c r="AA19" s="16" t="s">
        <v>766</v>
      </c>
      <c r="AB19" s="16" t="s">
        <v>766</v>
      </c>
      <c r="AC19" s="20">
        <v>0</v>
      </c>
      <c r="AD19" s="20" t="s">
        <v>64</v>
      </c>
      <c r="AE19" s="16" t="s">
        <v>64</v>
      </c>
      <c r="AF19" s="20" t="s">
        <v>64</v>
      </c>
      <c r="AG19" s="20" t="s">
        <v>64</v>
      </c>
      <c r="AH19" s="26" t="s">
        <v>76</v>
      </c>
      <c r="AI19" s="16">
        <v>1</v>
      </c>
      <c r="AJ19" s="16">
        <v>20</v>
      </c>
      <c r="AK19" s="16">
        <v>1.2</v>
      </c>
      <c r="AL19" s="137">
        <v>4</v>
      </c>
      <c r="AM19" s="137">
        <v>2.78</v>
      </c>
      <c r="AN19" s="16">
        <v>0</v>
      </c>
      <c r="AO19">
        <v>1</v>
      </c>
      <c r="AP19" s="16" t="s">
        <v>64</v>
      </c>
      <c r="AQ19" s="16" t="s">
        <v>64</v>
      </c>
      <c r="AR19" t="s">
        <v>64</v>
      </c>
      <c r="AS19" t="s">
        <v>64</v>
      </c>
      <c r="AT19" s="68" t="s">
        <v>824</v>
      </c>
    </row>
    <row r="20" spans="1:46">
      <c r="A20" t="s">
        <v>761</v>
      </c>
      <c r="B20" t="s">
        <v>48</v>
      </c>
      <c r="C20" t="s">
        <v>49</v>
      </c>
      <c r="D20" t="s">
        <v>183</v>
      </c>
      <c r="E20" t="s">
        <v>814</v>
      </c>
      <c r="F20" t="s">
        <v>822</v>
      </c>
      <c r="G20" t="s">
        <v>814</v>
      </c>
      <c r="H20">
        <v>19</v>
      </c>
      <c r="J20" s="15">
        <v>42334</v>
      </c>
      <c r="K20">
        <v>-3.4341094000000001</v>
      </c>
      <c r="L20">
        <v>29.436654999999998</v>
      </c>
      <c r="M20">
        <v>1439</v>
      </c>
      <c r="N20">
        <v>79225215</v>
      </c>
      <c r="O20" t="s">
        <v>825</v>
      </c>
      <c r="P20" s="131">
        <v>100</v>
      </c>
      <c r="Q20">
        <v>6</v>
      </c>
      <c r="R20" t="s">
        <v>781</v>
      </c>
      <c r="S20" s="18">
        <v>1</v>
      </c>
      <c r="T20" s="18">
        <v>2</v>
      </c>
      <c r="U20" s="16">
        <v>1</v>
      </c>
      <c r="V20" s="16">
        <f>AVERAGE(5,5,6,5,5)</f>
        <v>5.2</v>
      </c>
      <c r="W20" s="16">
        <v>0</v>
      </c>
      <c r="X20" s="16" t="s">
        <v>64</v>
      </c>
      <c r="Y20" s="16">
        <v>4</v>
      </c>
      <c r="Z20" s="16" t="s">
        <v>61</v>
      </c>
      <c r="AA20" s="16" t="s">
        <v>766</v>
      </c>
      <c r="AB20" s="16" t="s">
        <v>766</v>
      </c>
      <c r="AC20" s="20">
        <v>0</v>
      </c>
      <c r="AD20" s="20" t="s">
        <v>64</v>
      </c>
      <c r="AE20" s="16" t="s">
        <v>64</v>
      </c>
      <c r="AF20" s="20" t="s">
        <v>64</v>
      </c>
      <c r="AG20" s="20" t="s">
        <v>64</v>
      </c>
      <c r="AH20" t="s">
        <v>61</v>
      </c>
      <c r="AI20" s="16">
        <v>1</v>
      </c>
      <c r="AJ20" s="16" t="s">
        <v>64</v>
      </c>
      <c r="AK20" s="16">
        <v>1</v>
      </c>
      <c r="AL20" s="137">
        <v>5.88</v>
      </c>
      <c r="AM20" s="137">
        <v>6.83</v>
      </c>
      <c r="AN20" s="16">
        <v>0</v>
      </c>
      <c r="AO20" s="16">
        <v>0</v>
      </c>
      <c r="AP20" s="16" t="s">
        <v>64</v>
      </c>
      <c r="AQ20" s="16" t="s">
        <v>64</v>
      </c>
      <c r="AR20" t="s">
        <v>64</v>
      </c>
      <c r="AS20" t="s">
        <v>64</v>
      </c>
      <c r="AT20" s="68" t="s">
        <v>826</v>
      </c>
    </row>
    <row r="21" spans="1:46">
      <c r="A21" t="s">
        <v>761</v>
      </c>
      <c r="B21" t="s">
        <v>48</v>
      </c>
      <c r="C21" t="s">
        <v>49</v>
      </c>
      <c r="D21" t="s">
        <v>183</v>
      </c>
      <c r="E21" t="s">
        <v>51</v>
      </c>
      <c r="F21" t="s">
        <v>827</v>
      </c>
      <c r="G21" t="s">
        <v>51</v>
      </c>
      <c r="H21">
        <v>20</v>
      </c>
      <c r="J21" s="15">
        <v>42334</v>
      </c>
      <c r="K21">
        <v>-3.48265</v>
      </c>
      <c r="L21">
        <v>29.482659999999999</v>
      </c>
      <c r="M21">
        <v>1891</v>
      </c>
      <c r="N21">
        <v>77697311</v>
      </c>
      <c r="O21" t="s">
        <v>828</v>
      </c>
      <c r="P21" s="131">
        <v>200</v>
      </c>
      <c r="Q21">
        <v>6</v>
      </c>
      <c r="R21" t="s">
        <v>781</v>
      </c>
      <c r="S21" s="18">
        <v>0</v>
      </c>
      <c r="T21" s="18">
        <v>1</v>
      </c>
      <c r="U21" s="16">
        <v>1</v>
      </c>
      <c r="V21" s="16">
        <v>2</v>
      </c>
      <c r="W21" s="16">
        <v>0</v>
      </c>
      <c r="X21" s="16" t="s">
        <v>64</v>
      </c>
      <c r="Y21" s="16">
        <v>1</v>
      </c>
      <c r="Z21" s="16" t="s">
        <v>61</v>
      </c>
      <c r="AA21" s="16" t="s">
        <v>766</v>
      </c>
      <c r="AB21" s="16" t="s">
        <v>766</v>
      </c>
      <c r="AC21" s="20">
        <v>0</v>
      </c>
      <c r="AD21" s="20" t="s">
        <v>64</v>
      </c>
      <c r="AE21" s="16" t="s">
        <v>64</v>
      </c>
      <c r="AF21" s="20" t="s">
        <v>64</v>
      </c>
      <c r="AG21" s="20" t="s">
        <v>64</v>
      </c>
      <c r="AH21" t="s">
        <v>61</v>
      </c>
      <c r="AI21" s="16">
        <v>1</v>
      </c>
      <c r="AJ21" s="16">
        <v>40</v>
      </c>
      <c r="AK21" s="16">
        <v>1.4</v>
      </c>
      <c r="AL21" s="137">
        <v>5.56</v>
      </c>
      <c r="AM21" s="137">
        <v>11.04</v>
      </c>
      <c r="AN21" s="16">
        <v>0</v>
      </c>
      <c r="AO21" s="16">
        <v>0</v>
      </c>
      <c r="AP21" s="16" t="s">
        <v>64</v>
      </c>
      <c r="AQ21" s="16" t="s">
        <v>64</v>
      </c>
      <c r="AR21" t="s">
        <v>64</v>
      </c>
      <c r="AS21" t="s">
        <v>64</v>
      </c>
      <c r="AT21" s="68" t="s">
        <v>829</v>
      </c>
    </row>
    <row r="22" spans="1:46">
      <c r="A22" t="s">
        <v>761</v>
      </c>
      <c r="B22" t="s">
        <v>48</v>
      </c>
      <c r="C22" t="s">
        <v>49</v>
      </c>
      <c r="D22" t="s">
        <v>183</v>
      </c>
      <c r="E22" t="s">
        <v>51</v>
      </c>
      <c r="F22" t="s">
        <v>830</v>
      </c>
      <c r="G22" t="s">
        <v>830</v>
      </c>
      <c r="H22">
        <v>21</v>
      </c>
      <c r="J22" s="15">
        <v>42334</v>
      </c>
      <c r="K22">
        <v>-3.44631</v>
      </c>
      <c r="L22">
        <v>29.480180000000001</v>
      </c>
      <c r="M22">
        <v>1901</v>
      </c>
      <c r="N22">
        <v>71983240</v>
      </c>
      <c r="O22" t="s">
        <v>831</v>
      </c>
      <c r="P22" s="131">
        <f>20*20</f>
        <v>400</v>
      </c>
      <c r="Q22">
        <v>7</v>
      </c>
      <c r="R22" t="s">
        <v>832</v>
      </c>
      <c r="S22" s="18">
        <v>0</v>
      </c>
      <c r="T22" s="18">
        <v>1</v>
      </c>
      <c r="U22" s="16">
        <v>1</v>
      </c>
      <c r="V22" s="16">
        <f>AVERAGE(5,5,6,6,5)</f>
        <v>5.4</v>
      </c>
      <c r="W22" s="16">
        <v>0</v>
      </c>
      <c r="X22" s="16" t="s">
        <v>64</v>
      </c>
      <c r="Y22" s="16">
        <v>2</v>
      </c>
      <c r="Z22" s="16" t="s">
        <v>782</v>
      </c>
      <c r="AA22" s="16" t="s">
        <v>766</v>
      </c>
      <c r="AB22" s="16" t="s">
        <v>766</v>
      </c>
      <c r="AC22" s="20">
        <v>0</v>
      </c>
      <c r="AD22" s="20" t="s">
        <v>64</v>
      </c>
      <c r="AE22" s="16" t="s">
        <v>64</v>
      </c>
      <c r="AF22" s="20" t="s">
        <v>64</v>
      </c>
      <c r="AG22" s="20" t="s">
        <v>64</v>
      </c>
      <c r="AH22" s="26" t="s">
        <v>76</v>
      </c>
      <c r="AI22" s="16">
        <v>1</v>
      </c>
      <c r="AJ22" s="16">
        <v>100</v>
      </c>
      <c r="AK22" s="16">
        <v>2.4</v>
      </c>
      <c r="AL22" s="16">
        <v>63.89</v>
      </c>
      <c r="AM22" s="16">
        <v>69.42</v>
      </c>
      <c r="AN22" s="16">
        <v>0</v>
      </c>
      <c r="AO22" s="16">
        <v>0</v>
      </c>
      <c r="AP22" s="16" t="s">
        <v>64</v>
      </c>
      <c r="AQ22" s="16" t="s">
        <v>64</v>
      </c>
      <c r="AR22" t="s">
        <v>64</v>
      </c>
      <c r="AS22" t="s">
        <v>64</v>
      </c>
      <c r="AT22" s="68" t="s">
        <v>833</v>
      </c>
    </row>
    <row r="23" spans="1:46">
      <c r="A23" t="s">
        <v>761</v>
      </c>
      <c r="B23" t="s">
        <v>48</v>
      </c>
      <c r="C23" t="s">
        <v>49</v>
      </c>
      <c r="D23" t="s">
        <v>183</v>
      </c>
      <c r="E23" t="s">
        <v>51</v>
      </c>
      <c r="F23" t="s">
        <v>53</v>
      </c>
      <c r="G23" t="s">
        <v>52</v>
      </c>
      <c r="H23">
        <v>22</v>
      </c>
      <c r="J23" s="15">
        <v>42335</v>
      </c>
      <c r="K23">
        <v>-3.4825615999999999</v>
      </c>
      <c r="L23">
        <v>29.483255400000001</v>
      </c>
      <c r="M23">
        <v>1878</v>
      </c>
      <c r="N23" t="s">
        <v>64</v>
      </c>
      <c r="O23" t="s">
        <v>834</v>
      </c>
      <c r="P23" s="131">
        <f>22*10</f>
        <v>220</v>
      </c>
      <c r="Q23">
        <v>5</v>
      </c>
      <c r="R23" t="s">
        <v>781</v>
      </c>
      <c r="S23" s="18">
        <v>1</v>
      </c>
      <c r="T23" s="18">
        <f>AVERAGE(3,4,5,5,5)</f>
        <v>4.4000000000000004</v>
      </c>
      <c r="U23" s="16">
        <v>1</v>
      </c>
      <c r="V23" s="16">
        <f>AVERAGE(6,7,7,7,7)</f>
        <v>6.8</v>
      </c>
      <c r="W23" s="16">
        <v>0</v>
      </c>
      <c r="X23" s="16" t="s">
        <v>64</v>
      </c>
      <c r="Y23" s="16">
        <v>0</v>
      </c>
      <c r="Z23" s="16" t="s">
        <v>61</v>
      </c>
      <c r="AA23" s="16" t="s">
        <v>766</v>
      </c>
      <c r="AB23" s="16" t="s">
        <v>766</v>
      </c>
      <c r="AC23" s="20">
        <v>0</v>
      </c>
      <c r="AD23" s="20" t="s">
        <v>64</v>
      </c>
      <c r="AE23" s="16" t="s">
        <v>64</v>
      </c>
      <c r="AF23" s="20" t="s">
        <v>64</v>
      </c>
      <c r="AG23" s="20" t="s">
        <v>64</v>
      </c>
      <c r="AH23" t="s">
        <v>61</v>
      </c>
      <c r="AI23" s="16">
        <v>1</v>
      </c>
      <c r="AJ23" s="16">
        <v>83.33</v>
      </c>
      <c r="AK23" s="16">
        <v>1.83</v>
      </c>
      <c r="AL23" s="16">
        <v>5.26</v>
      </c>
      <c r="AM23" s="16">
        <v>7.03</v>
      </c>
      <c r="AN23" s="16">
        <v>0</v>
      </c>
      <c r="AO23" s="16">
        <v>0</v>
      </c>
      <c r="AP23" s="16" t="s">
        <v>64</v>
      </c>
      <c r="AQ23" s="16" t="s">
        <v>64</v>
      </c>
      <c r="AR23" t="s">
        <v>64</v>
      </c>
      <c r="AS23" t="s">
        <v>64</v>
      </c>
      <c r="AT23" s="68" t="s">
        <v>835</v>
      </c>
    </row>
    <row r="24" spans="1:46">
      <c r="A24" t="s">
        <v>761</v>
      </c>
      <c r="B24" t="s">
        <v>48</v>
      </c>
      <c r="C24" t="s">
        <v>49</v>
      </c>
      <c r="D24" t="s">
        <v>183</v>
      </c>
      <c r="E24" t="s">
        <v>70</v>
      </c>
      <c r="F24" t="s">
        <v>71</v>
      </c>
      <c r="G24" t="s">
        <v>836</v>
      </c>
      <c r="H24">
        <v>23</v>
      </c>
      <c r="J24" s="15">
        <v>42335</v>
      </c>
      <c r="K24">
        <v>-3.4720900000000001</v>
      </c>
      <c r="L24">
        <v>29.537970000000001</v>
      </c>
      <c r="M24">
        <v>2276</v>
      </c>
      <c r="N24" t="s">
        <v>64</v>
      </c>
      <c r="O24" t="s">
        <v>837</v>
      </c>
      <c r="P24" s="131">
        <f>20*20</f>
        <v>400</v>
      </c>
      <c r="Q24">
        <v>8</v>
      </c>
      <c r="R24" t="s">
        <v>838</v>
      </c>
      <c r="S24" s="18">
        <v>1</v>
      </c>
      <c r="T24" s="18">
        <f>AVERAGE(4,5,5,7,7)</f>
        <v>5.6</v>
      </c>
      <c r="U24" s="16">
        <v>1</v>
      </c>
      <c r="V24" s="16">
        <f>AVERAGE(5,5,5,7,7)</f>
        <v>5.8</v>
      </c>
      <c r="W24" s="16">
        <v>0</v>
      </c>
      <c r="X24" s="16" t="s">
        <v>64</v>
      </c>
      <c r="Y24" s="16">
        <v>1</v>
      </c>
      <c r="Z24" s="16" t="s">
        <v>61</v>
      </c>
      <c r="AA24" s="16" t="s">
        <v>766</v>
      </c>
      <c r="AB24" s="16" t="s">
        <v>766</v>
      </c>
      <c r="AC24" s="20">
        <v>0</v>
      </c>
      <c r="AD24" s="20" t="s">
        <v>64</v>
      </c>
      <c r="AE24" s="16" t="s">
        <v>64</v>
      </c>
      <c r="AF24" s="20" t="s">
        <v>64</v>
      </c>
      <c r="AG24" s="20" t="s">
        <v>64</v>
      </c>
      <c r="AH24" s="26" t="s">
        <v>76</v>
      </c>
      <c r="AI24" s="16">
        <v>0</v>
      </c>
      <c r="AJ24" s="16" t="s">
        <v>64</v>
      </c>
      <c r="AK24" s="16" t="s">
        <v>64</v>
      </c>
      <c r="AL24" s="16" t="s">
        <v>64</v>
      </c>
      <c r="AM24" s="16" t="s">
        <v>64</v>
      </c>
      <c r="AN24" s="16" t="s">
        <v>64</v>
      </c>
      <c r="AO24" s="16" t="s">
        <v>64</v>
      </c>
      <c r="AP24" s="16" t="s">
        <v>64</v>
      </c>
      <c r="AQ24" s="16" t="s">
        <v>64</v>
      </c>
      <c r="AR24" t="s">
        <v>64</v>
      </c>
      <c r="AS24" t="s">
        <v>64</v>
      </c>
      <c r="AT24" s="68" t="s">
        <v>64</v>
      </c>
    </row>
    <row r="25" spans="1:46">
      <c r="A25" t="s">
        <v>761</v>
      </c>
      <c r="B25" t="s">
        <v>48</v>
      </c>
      <c r="C25" t="s">
        <v>49</v>
      </c>
      <c r="D25" t="s">
        <v>183</v>
      </c>
      <c r="E25" t="s">
        <v>70</v>
      </c>
      <c r="F25" t="s">
        <v>74</v>
      </c>
      <c r="G25" t="s">
        <v>74</v>
      </c>
      <c r="H25">
        <v>24</v>
      </c>
      <c r="J25" s="15">
        <v>42335</v>
      </c>
      <c r="K25">
        <v>-3.4815776000000001</v>
      </c>
      <c r="L25">
        <v>29.553932199999998</v>
      </c>
      <c r="M25">
        <v>2263</v>
      </c>
      <c r="N25" t="s">
        <v>64</v>
      </c>
      <c r="O25" t="s">
        <v>839</v>
      </c>
      <c r="P25" s="131" t="s">
        <v>64</v>
      </c>
      <c r="Q25" t="s">
        <v>64</v>
      </c>
      <c r="R25" s="60" t="s">
        <v>840</v>
      </c>
      <c r="S25" s="18">
        <v>1</v>
      </c>
      <c r="T25" s="129">
        <f>AVERAGE(3,3,3,5)</f>
        <v>3.5</v>
      </c>
      <c r="U25" s="16">
        <v>1</v>
      </c>
      <c r="V25" s="16">
        <f>AVERAGE(2,2,5,5)</f>
        <v>3.5</v>
      </c>
      <c r="W25" s="16">
        <v>0</v>
      </c>
      <c r="X25" s="16" t="s">
        <v>64</v>
      </c>
      <c r="Y25" s="16">
        <v>0</v>
      </c>
      <c r="Z25" s="16" t="s">
        <v>61</v>
      </c>
      <c r="AA25" s="16" t="s">
        <v>766</v>
      </c>
      <c r="AB25" s="16" t="s">
        <v>766</v>
      </c>
      <c r="AC25" s="20">
        <v>0</v>
      </c>
      <c r="AD25" s="20" t="s">
        <v>64</v>
      </c>
      <c r="AE25" s="16" t="s">
        <v>64</v>
      </c>
      <c r="AF25" s="20" t="s">
        <v>64</v>
      </c>
      <c r="AG25" s="20" t="s">
        <v>64</v>
      </c>
      <c r="AH25" s="26" t="s">
        <v>76</v>
      </c>
      <c r="AI25" s="16">
        <v>1</v>
      </c>
      <c r="AJ25" s="16">
        <v>20</v>
      </c>
      <c r="AK25" s="16">
        <v>1.1000000000000001</v>
      </c>
      <c r="AL25" s="137">
        <v>0</v>
      </c>
      <c r="AM25" s="137">
        <v>0</v>
      </c>
      <c r="AN25" s="16">
        <v>0</v>
      </c>
      <c r="AO25" s="16">
        <v>0</v>
      </c>
      <c r="AP25" s="16" t="s">
        <v>64</v>
      </c>
      <c r="AQ25" s="16" t="s">
        <v>64</v>
      </c>
      <c r="AR25" t="s">
        <v>64</v>
      </c>
      <c r="AS25" t="s">
        <v>64</v>
      </c>
      <c r="AT25" s="68" t="s">
        <v>841</v>
      </c>
    </row>
    <row r="26" spans="1:46">
      <c r="A26" t="s">
        <v>761</v>
      </c>
      <c r="B26" t="s">
        <v>48</v>
      </c>
      <c r="C26" t="s">
        <v>49</v>
      </c>
      <c r="D26" t="s">
        <v>183</v>
      </c>
      <c r="E26" t="s">
        <v>94</v>
      </c>
      <c r="F26" t="s">
        <v>842</v>
      </c>
      <c r="G26" t="s">
        <v>95</v>
      </c>
      <c r="H26">
        <v>25</v>
      </c>
      <c r="J26" s="15">
        <v>42338</v>
      </c>
      <c r="K26">
        <v>-3.5378400000000001</v>
      </c>
      <c r="L26">
        <v>29.5</v>
      </c>
      <c r="M26">
        <v>2165</v>
      </c>
      <c r="N26">
        <v>79258359</v>
      </c>
      <c r="O26" t="s">
        <v>843</v>
      </c>
      <c r="P26" s="131">
        <f>20*20</f>
        <v>400</v>
      </c>
      <c r="Q26">
        <v>6</v>
      </c>
      <c r="R26" t="s">
        <v>844</v>
      </c>
      <c r="S26" s="18">
        <v>1</v>
      </c>
      <c r="T26" s="18">
        <f>AVERAGE(3)</f>
        <v>3</v>
      </c>
      <c r="U26" s="16">
        <v>1</v>
      </c>
      <c r="V26" s="16">
        <f>AVERAGE(6,6,6,6,7)</f>
        <v>6.2</v>
      </c>
      <c r="W26" s="16">
        <v>0</v>
      </c>
      <c r="X26" s="16" t="s">
        <v>64</v>
      </c>
      <c r="Y26" s="16">
        <v>1</v>
      </c>
      <c r="Z26" s="16" t="s">
        <v>61</v>
      </c>
      <c r="AA26" s="16" t="s">
        <v>766</v>
      </c>
      <c r="AB26" s="16" t="s">
        <v>766</v>
      </c>
      <c r="AC26" s="20">
        <v>0</v>
      </c>
      <c r="AD26" s="20" t="s">
        <v>64</v>
      </c>
      <c r="AE26" s="16" t="s">
        <v>64</v>
      </c>
      <c r="AF26" s="20" t="s">
        <v>64</v>
      </c>
      <c r="AG26" s="20" t="s">
        <v>64</v>
      </c>
      <c r="AH26" s="26" t="s">
        <v>76</v>
      </c>
      <c r="AI26" s="16">
        <v>0</v>
      </c>
      <c r="AJ26" s="16" t="s">
        <v>64</v>
      </c>
      <c r="AK26" s="16" t="s">
        <v>64</v>
      </c>
      <c r="AL26" s="16" t="s">
        <v>64</v>
      </c>
      <c r="AM26" s="16" t="s">
        <v>64</v>
      </c>
      <c r="AN26" s="16" t="s">
        <v>64</v>
      </c>
      <c r="AO26" s="16" t="s">
        <v>64</v>
      </c>
      <c r="AP26" s="16" t="s">
        <v>64</v>
      </c>
      <c r="AQ26" s="16" t="s">
        <v>64</v>
      </c>
      <c r="AR26" t="s">
        <v>64</v>
      </c>
      <c r="AS26" t="s">
        <v>64</v>
      </c>
      <c r="AT26" s="68" t="s">
        <v>845</v>
      </c>
    </row>
    <row r="27" spans="1:46">
      <c r="A27" t="s">
        <v>761</v>
      </c>
      <c r="B27" t="s">
        <v>48</v>
      </c>
      <c r="C27" t="s">
        <v>49</v>
      </c>
      <c r="D27" t="s">
        <v>183</v>
      </c>
      <c r="E27" t="s">
        <v>94</v>
      </c>
      <c r="F27" t="s">
        <v>225</v>
      </c>
      <c r="G27" t="s">
        <v>95</v>
      </c>
      <c r="H27">
        <v>26</v>
      </c>
      <c r="J27" s="15">
        <v>42338</v>
      </c>
      <c r="K27">
        <v>-3.5308999999999999</v>
      </c>
      <c r="L27">
        <v>29.511970000000002</v>
      </c>
      <c r="M27">
        <v>2288</v>
      </c>
      <c r="N27" t="s">
        <v>64</v>
      </c>
      <c r="O27" t="s">
        <v>846</v>
      </c>
      <c r="P27" s="131">
        <f>25*50</f>
        <v>1250</v>
      </c>
      <c r="Q27">
        <v>6</v>
      </c>
      <c r="R27" t="s">
        <v>847</v>
      </c>
      <c r="S27" s="64">
        <v>1</v>
      </c>
      <c r="T27" s="64">
        <f>AVERAGE(7,7,6,6)</f>
        <v>6.5</v>
      </c>
      <c r="U27" s="16">
        <v>1</v>
      </c>
      <c r="V27" s="18">
        <f>AVERAGE(7,7,6,6)</f>
        <v>6.5</v>
      </c>
      <c r="W27" s="16">
        <v>0</v>
      </c>
      <c r="X27" s="16" t="s">
        <v>64</v>
      </c>
      <c r="Y27" s="16">
        <v>0</v>
      </c>
      <c r="Z27" s="16" t="s">
        <v>47</v>
      </c>
      <c r="AA27" s="16" t="s">
        <v>766</v>
      </c>
      <c r="AB27" s="16" t="s">
        <v>766</v>
      </c>
      <c r="AC27" s="20">
        <v>0</v>
      </c>
      <c r="AD27" s="20" t="s">
        <v>64</v>
      </c>
      <c r="AE27" s="16" t="s">
        <v>64</v>
      </c>
      <c r="AF27" s="20" t="s">
        <v>64</v>
      </c>
      <c r="AG27" s="20" t="s">
        <v>64</v>
      </c>
      <c r="AH27" t="s">
        <v>61</v>
      </c>
      <c r="AI27" s="16">
        <v>0</v>
      </c>
      <c r="AJ27" s="16" t="s">
        <v>64</v>
      </c>
      <c r="AK27" s="16" t="s">
        <v>64</v>
      </c>
      <c r="AL27" s="16" t="s">
        <v>64</v>
      </c>
      <c r="AM27" s="16" t="s">
        <v>64</v>
      </c>
      <c r="AN27" s="16" t="s">
        <v>64</v>
      </c>
      <c r="AO27" s="16" t="s">
        <v>64</v>
      </c>
      <c r="AP27" s="16" t="s">
        <v>64</v>
      </c>
      <c r="AQ27" s="16" t="s">
        <v>64</v>
      </c>
      <c r="AR27" t="s">
        <v>64</v>
      </c>
      <c r="AS27" t="s">
        <v>64</v>
      </c>
      <c r="AT27" s="68" t="s">
        <v>64</v>
      </c>
    </row>
    <row r="28" spans="1:46">
      <c r="A28" t="s">
        <v>761</v>
      </c>
      <c r="B28" t="s">
        <v>48</v>
      </c>
      <c r="C28" t="s">
        <v>49</v>
      </c>
      <c r="D28" t="s">
        <v>183</v>
      </c>
      <c r="E28" t="s">
        <v>94</v>
      </c>
      <c r="F28" t="s">
        <v>225</v>
      </c>
      <c r="G28" t="s">
        <v>95</v>
      </c>
      <c r="H28">
        <v>27</v>
      </c>
      <c r="J28" s="15">
        <v>42338</v>
      </c>
      <c r="K28">
        <v>-3.5342199999999999</v>
      </c>
      <c r="L28">
        <v>29.534220000000001</v>
      </c>
      <c r="M28">
        <v>2036</v>
      </c>
      <c r="N28" t="s">
        <v>64</v>
      </c>
      <c r="O28" t="s">
        <v>848</v>
      </c>
      <c r="P28" s="131">
        <f>12*10</f>
        <v>120</v>
      </c>
      <c r="Q28">
        <v>6</v>
      </c>
      <c r="R28" t="s">
        <v>849</v>
      </c>
      <c r="S28" s="18">
        <v>1</v>
      </c>
      <c r="T28" s="129">
        <f>AVERAGE(5,6,5,5)</f>
        <v>5.25</v>
      </c>
      <c r="U28" s="16">
        <v>1</v>
      </c>
      <c r="V28" s="16">
        <v>6</v>
      </c>
      <c r="W28" s="16">
        <v>0</v>
      </c>
      <c r="X28" s="16" t="s">
        <v>64</v>
      </c>
      <c r="Y28" s="16">
        <v>0</v>
      </c>
      <c r="Z28" s="16" t="s">
        <v>61</v>
      </c>
      <c r="AA28" s="16" t="s">
        <v>766</v>
      </c>
      <c r="AB28" s="16" t="s">
        <v>766</v>
      </c>
      <c r="AC28" s="20">
        <v>0</v>
      </c>
      <c r="AD28" s="20" t="s">
        <v>64</v>
      </c>
      <c r="AE28" s="16" t="s">
        <v>64</v>
      </c>
      <c r="AF28" s="20" t="s">
        <v>64</v>
      </c>
      <c r="AG28" s="20" t="s">
        <v>64</v>
      </c>
      <c r="AH28" s="26" t="s">
        <v>76</v>
      </c>
      <c r="AI28" s="16">
        <v>1</v>
      </c>
      <c r="AJ28" s="16">
        <v>60</v>
      </c>
      <c r="AK28" s="16">
        <v>1.6</v>
      </c>
      <c r="AL28" s="137">
        <v>9.3800000000000008</v>
      </c>
      <c r="AM28" s="137">
        <v>6.52</v>
      </c>
      <c r="AN28" s="16">
        <v>0</v>
      </c>
      <c r="AO28" s="16">
        <v>0</v>
      </c>
      <c r="AP28" s="16" t="s">
        <v>64</v>
      </c>
      <c r="AQ28" s="16" t="s">
        <v>64</v>
      </c>
      <c r="AR28" t="s">
        <v>64</v>
      </c>
      <c r="AS28" t="s">
        <v>64</v>
      </c>
      <c r="AT28" s="68" t="s">
        <v>850</v>
      </c>
    </row>
    <row r="29" spans="1:46">
      <c r="A29" t="s">
        <v>761</v>
      </c>
      <c r="B29" t="s">
        <v>48</v>
      </c>
      <c r="C29" t="s">
        <v>49</v>
      </c>
      <c r="D29" t="s">
        <v>183</v>
      </c>
      <c r="E29" t="s">
        <v>94</v>
      </c>
      <c r="F29" t="s">
        <v>851</v>
      </c>
      <c r="G29" t="s">
        <v>120</v>
      </c>
      <c r="H29">
        <v>28</v>
      </c>
      <c r="J29" s="15">
        <v>42339</v>
      </c>
      <c r="K29">
        <v>-3.5750017000000001</v>
      </c>
      <c r="L29">
        <v>29.4938164</v>
      </c>
      <c r="M29">
        <v>2294</v>
      </c>
      <c r="N29" t="s">
        <v>64</v>
      </c>
      <c r="O29" t="s">
        <v>852</v>
      </c>
      <c r="P29" s="131">
        <f>30*20</f>
        <v>600</v>
      </c>
      <c r="Q29">
        <v>8</v>
      </c>
      <c r="R29" t="s">
        <v>853</v>
      </c>
      <c r="S29" s="18">
        <v>1</v>
      </c>
      <c r="T29" s="18">
        <f>AVERAGE(7,7,6,7,7)</f>
        <v>6.8</v>
      </c>
      <c r="U29" s="16">
        <v>1</v>
      </c>
      <c r="V29" s="16">
        <f>AVERAGE(5,6,6,5,6)</f>
        <v>5.6</v>
      </c>
      <c r="W29" s="16">
        <v>0</v>
      </c>
      <c r="X29" s="16" t="s">
        <v>64</v>
      </c>
      <c r="Y29" s="16">
        <v>1</v>
      </c>
      <c r="Z29" s="16" t="s">
        <v>854</v>
      </c>
      <c r="AA29" s="16" t="s">
        <v>766</v>
      </c>
      <c r="AB29" s="16" t="s">
        <v>766</v>
      </c>
      <c r="AC29" s="20">
        <v>0</v>
      </c>
      <c r="AD29" s="20" t="s">
        <v>64</v>
      </c>
      <c r="AE29" s="16" t="s">
        <v>64</v>
      </c>
      <c r="AF29" s="20" t="s">
        <v>64</v>
      </c>
      <c r="AG29" s="20" t="s">
        <v>64</v>
      </c>
      <c r="AH29" s="20" t="s">
        <v>61</v>
      </c>
      <c r="AI29" s="16">
        <v>0</v>
      </c>
      <c r="AJ29" s="16" t="s">
        <v>64</v>
      </c>
      <c r="AK29" s="16" t="s">
        <v>64</v>
      </c>
      <c r="AL29" s="16" t="s">
        <v>64</v>
      </c>
      <c r="AM29" s="16" t="s">
        <v>64</v>
      </c>
      <c r="AN29" s="16" t="s">
        <v>64</v>
      </c>
      <c r="AO29" s="16" t="s">
        <v>64</v>
      </c>
      <c r="AP29" s="16" t="s">
        <v>64</v>
      </c>
      <c r="AQ29" s="16" t="s">
        <v>64</v>
      </c>
      <c r="AR29" t="s">
        <v>64</v>
      </c>
      <c r="AS29" t="s">
        <v>64</v>
      </c>
      <c r="AT29" s="68" t="s">
        <v>855</v>
      </c>
    </row>
    <row r="30" spans="1:46">
      <c r="A30" t="s">
        <v>761</v>
      </c>
      <c r="B30" t="s">
        <v>48</v>
      </c>
      <c r="C30" t="s">
        <v>49</v>
      </c>
      <c r="D30" t="s">
        <v>183</v>
      </c>
      <c r="E30" t="s">
        <v>94</v>
      </c>
      <c r="F30" t="s">
        <v>851</v>
      </c>
      <c r="G30" t="s">
        <v>120</v>
      </c>
      <c r="H30">
        <v>29</v>
      </c>
      <c r="J30" s="15">
        <v>42339</v>
      </c>
      <c r="K30">
        <v>-3.5598022999999999</v>
      </c>
      <c r="L30">
        <v>29.4883633</v>
      </c>
      <c r="M30">
        <v>2125</v>
      </c>
      <c r="N30" t="s">
        <v>64</v>
      </c>
      <c r="O30" t="s">
        <v>856</v>
      </c>
      <c r="P30" s="131">
        <f>30*20</f>
        <v>600</v>
      </c>
      <c r="Q30">
        <v>8</v>
      </c>
      <c r="R30" t="s">
        <v>857</v>
      </c>
      <c r="S30" s="18">
        <v>1</v>
      </c>
      <c r="T30" s="18">
        <f>AVERAGE(8,8,7,7,7)</f>
        <v>7.4</v>
      </c>
      <c r="U30" s="16">
        <v>1</v>
      </c>
      <c r="V30" s="16">
        <f>AVERAGE(8,8,7,7,7)</f>
        <v>7.4</v>
      </c>
      <c r="W30" s="16">
        <v>0</v>
      </c>
      <c r="X30" s="16" t="s">
        <v>64</v>
      </c>
      <c r="Y30" s="16">
        <v>0</v>
      </c>
      <c r="Z30" s="16" t="s">
        <v>858</v>
      </c>
      <c r="AA30" s="16" t="s">
        <v>766</v>
      </c>
      <c r="AB30" s="16" t="s">
        <v>766</v>
      </c>
      <c r="AC30" s="20">
        <v>0</v>
      </c>
      <c r="AD30" s="20" t="s">
        <v>64</v>
      </c>
      <c r="AE30" s="16" t="s">
        <v>64</v>
      </c>
      <c r="AF30" s="20" t="s">
        <v>64</v>
      </c>
      <c r="AG30" s="20" t="s">
        <v>64</v>
      </c>
      <c r="AH30" s="26" t="s">
        <v>76</v>
      </c>
      <c r="AI30" s="16">
        <v>1</v>
      </c>
      <c r="AJ30" s="16">
        <v>80</v>
      </c>
      <c r="AK30" s="16">
        <v>2.1</v>
      </c>
      <c r="AL30" s="137">
        <v>7.69</v>
      </c>
      <c r="AM30" s="137">
        <v>6.3</v>
      </c>
      <c r="AN30" s="16">
        <v>0</v>
      </c>
      <c r="AO30" s="16">
        <v>0</v>
      </c>
      <c r="AP30" s="16" t="s">
        <v>64</v>
      </c>
      <c r="AQ30" s="16" t="s">
        <v>64</v>
      </c>
      <c r="AR30" t="s">
        <v>64</v>
      </c>
      <c r="AS30" t="s">
        <v>64</v>
      </c>
      <c r="AT30" s="68" t="s">
        <v>859</v>
      </c>
    </row>
    <row r="31" spans="1:46">
      <c r="A31" t="s">
        <v>761</v>
      </c>
      <c r="B31" t="s">
        <v>48</v>
      </c>
      <c r="C31" t="s">
        <v>49</v>
      </c>
      <c r="D31" t="s">
        <v>183</v>
      </c>
      <c r="E31" t="s">
        <v>94</v>
      </c>
      <c r="F31" t="s">
        <v>851</v>
      </c>
      <c r="G31" t="s">
        <v>120</v>
      </c>
      <c r="H31">
        <v>30</v>
      </c>
      <c r="J31" s="15">
        <v>42339</v>
      </c>
      <c r="K31">
        <v>-3.5386199999999999</v>
      </c>
      <c r="L31">
        <v>29.472370000000002</v>
      </c>
      <c r="M31">
        <v>2029</v>
      </c>
      <c r="N31" t="s">
        <v>64</v>
      </c>
      <c r="O31" t="s">
        <v>860</v>
      </c>
      <c r="P31" s="131">
        <f>15*22</f>
        <v>330</v>
      </c>
      <c r="Q31">
        <v>12</v>
      </c>
      <c r="R31" t="s">
        <v>861</v>
      </c>
      <c r="S31" s="18">
        <v>1</v>
      </c>
      <c r="T31" s="18">
        <f>AVERAGE(6)</f>
        <v>6</v>
      </c>
      <c r="U31" s="16">
        <v>1</v>
      </c>
      <c r="V31" s="16">
        <f>AVERAGE(6,6,6,7,6)</f>
        <v>6.2</v>
      </c>
      <c r="W31" s="16">
        <v>0</v>
      </c>
      <c r="X31" s="16" t="s">
        <v>64</v>
      </c>
      <c r="Y31" s="16">
        <v>1</v>
      </c>
      <c r="Z31" s="16" t="s">
        <v>862</v>
      </c>
      <c r="AA31" s="16" t="s">
        <v>766</v>
      </c>
      <c r="AB31" s="16" t="s">
        <v>766</v>
      </c>
      <c r="AC31" s="20">
        <v>1</v>
      </c>
      <c r="AD31" s="20">
        <v>1</v>
      </c>
      <c r="AE31" s="16" t="s">
        <v>64</v>
      </c>
      <c r="AF31" s="20">
        <v>0</v>
      </c>
      <c r="AG31" s="20" t="s">
        <v>61</v>
      </c>
      <c r="AH31" t="s">
        <v>61</v>
      </c>
      <c r="AI31" s="16">
        <v>1</v>
      </c>
      <c r="AJ31" s="16">
        <v>40</v>
      </c>
      <c r="AK31" s="16">
        <v>1.4</v>
      </c>
      <c r="AL31" s="137">
        <v>2.86</v>
      </c>
      <c r="AM31" s="137">
        <v>1.97</v>
      </c>
      <c r="AN31">
        <v>1</v>
      </c>
      <c r="AO31">
        <v>0</v>
      </c>
      <c r="AP31" s="16" t="s">
        <v>64</v>
      </c>
      <c r="AQ31" s="16" t="s">
        <v>64</v>
      </c>
      <c r="AR31" t="s">
        <v>64</v>
      </c>
      <c r="AS31" t="s">
        <v>64</v>
      </c>
      <c r="AT31" s="68" t="s">
        <v>863</v>
      </c>
    </row>
    <row r="32" spans="1:46">
      <c r="A32" t="s">
        <v>761</v>
      </c>
      <c r="B32" t="s">
        <v>48</v>
      </c>
      <c r="C32" t="s">
        <v>49</v>
      </c>
      <c r="D32" t="s">
        <v>183</v>
      </c>
      <c r="E32" t="s">
        <v>864</v>
      </c>
      <c r="F32" t="s">
        <v>865</v>
      </c>
      <c r="G32" t="s">
        <v>866</v>
      </c>
      <c r="H32">
        <v>31</v>
      </c>
      <c r="J32" s="15">
        <v>42339</v>
      </c>
      <c r="K32">
        <v>-3.5480299999999998</v>
      </c>
      <c r="L32">
        <v>29.450710000000001</v>
      </c>
      <c r="M32">
        <v>1956</v>
      </c>
      <c r="N32">
        <v>69313541</v>
      </c>
      <c r="O32" t="s">
        <v>867</v>
      </c>
      <c r="P32" s="131" t="s">
        <v>64</v>
      </c>
      <c r="Q32">
        <v>6</v>
      </c>
      <c r="R32" t="s">
        <v>781</v>
      </c>
      <c r="S32" s="18">
        <v>1</v>
      </c>
      <c r="T32" s="18">
        <v>6</v>
      </c>
      <c r="U32" s="16">
        <v>1</v>
      </c>
      <c r="V32" s="16">
        <v>6</v>
      </c>
      <c r="W32" s="16">
        <v>0</v>
      </c>
      <c r="X32" s="16" t="s">
        <v>64</v>
      </c>
      <c r="Y32" s="16">
        <v>0</v>
      </c>
      <c r="Z32" s="16" t="s">
        <v>61</v>
      </c>
      <c r="AA32" s="16" t="s">
        <v>766</v>
      </c>
      <c r="AB32" s="16" t="s">
        <v>766</v>
      </c>
      <c r="AC32" s="20">
        <v>0</v>
      </c>
      <c r="AD32" s="20" t="s">
        <v>64</v>
      </c>
      <c r="AE32" s="16" t="s">
        <v>64</v>
      </c>
      <c r="AF32" s="20" t="s">
        <v>64</v>
      </c>
      <c r="AG32" s="20" t="s">
        <v>64</v>
      </c>
      <c r="AH32" s="26" t="s">
        <v>76</v>
      </c>
      <c r="AI32" s="16">
        <v>1</v>
      </c>
      <c r="AJ32" s="16">
        <v>100</v>
      </c>
      <c r="AK32" s="16">
        <v>2.1</v>
      </c>
      <c r="AL32" s="16">
        <v>3.17</v>
      </c>
      <c r="AM32" s="16">
        <v>2.79</v>
      </c>
      <c r="AN32" s="16">
        <v>0</v>
      </c>
      <c r="AO32" s="16">
        <v>0</v>
      </c>
      <c r="AP32" s="16" t="s">
        <v>64</v>
      </c>
      <c r="AQ32" s="16" t="s">
        <v>64</v>
      </c>
      <c r="AR32" t="s">
        <v>64</v>
      </c>
      <c r="AS32" t="s">
        <v>64</v>
      </c>
      <c r="AT32" s="68" t="s">
        <v>868</v>
      </c>
    </row>
    <row r="33" spans="1:46">
      <c r="A33" t="s">
        <v>761</v>
      </c>
      <c r="B33" t="s">
        <v>48</v>
      </c>
      <c r="C33" t="s">
        <v>49</v>
      </c>
      <c r="D33" t="s">
        <v>183</v>
      </c>
      <c r="E33" t="s">
        <v>864</v>
      </c>
      <c r="F33" t="s">
        <v>869</v>
      </c>
      <c r="G33" t="s">
        <v>866</v>
      </c>
      <c r="H33">
        <v>32</v>
      </c>
      <c r="J33" s="15">
        <v>42340</v>
      </c>
      <c r="K33">
        <v>-3.4821</v>
      </c>
      <c r="L33">
        <v>29.39377</v>
      </c>
      <c r="M33">
        <v>1022</v>
      </c>
      <c r="N33" t="s">
        <v>64</v>
      </c>
      <c r="O33" t="s">
        <v>870</v>
      </c>
      <c r="P33" s="131">
        <f>10*10</f>
        <v>100</v>
      </c>
      <c r="Q33">
        <v>8</v>
      </c>
      <c r="R33" t="s">
        <v>781</v>
      </c>
      <c r="S33" s="18">
        <v>0</v>
      </c>
      <c r="T33" s="18">
        <v>1</v>
      </c>
      <c r="U33" s="16">
        <v>1</v>
      </c>
      <c r="V33" s="16">
        <v>7</v>
      </c>
      <c r="W33" s="16">
        <v>0</v>
      </c>
      <c r="X33" s="16" t="s">
        <v>64</v>
      </c>
      <c r="Y33" s="16">
        <v>0</v>
      </c>
      <c r="Z33" s="16" t="s">
        <v>61</v>
      </c>
      <c r="AA33" s="16" t="s">
        <v>766</v>
      </c>
      <c r="AB33" s="16" t="s">
        <v>766</v>
      </c>
      <c r="AC33" s="20">
        <v>0</v>
      </c>
      <c r="AD33" s="20" t="s">
        <v>64</v>
      </c>
      <c r="AE33" s="16" t="s">
        <v>64</v>
      </c>
      <c r="AF33" s="20" t="s">
        <v>64</v>
      </c>
      <c r="AG33" s="20" t="s">
        <v>64</v>
      </c>
      <c r="AH33" s="26" t="s">
        <v>76</v>
      </c>
      <c r="AI33" s="16">
        <v>1</v>
      </c>
      <c r="AJ33" s="16" t="s">
        <v>64</v>
      </c>
      <c r="AK33" s="16" t="s">
        <v>64</v>
      </c>
      <c r="AL33" s="16" t="s">
        <v>64</v>
      </c>
      <c r="AM33" s="16" t="s">
        <v>64</v>
      </c>
      <c r="AN33">
        <v>3</v>
      </c>
      <c r="AO33">
        <v>0</v>
      </c>
      <c r="AP33" s="16" t="s">
        <v>64</v>
      </c>
      <c r="AQ33" s="16" t="s">
        <v>64</v>
      </c>
      <c r="AR33" t="s">
        <v>64</v>
      </c>
      <c r="AS33" t="s">
        <v>64</v>
      </c>
      <c r="AT33" s="68" t="s">
        <v>871</v>
      </c>
    </row>
    <row r="34" spans="1:46">
      <c r="A34" t="s">
        <v>761</v>
      </c>
      <c r="B34" t="s">
        <v>48</v>
      </c>
      <c r="C34" t="s">
        <v>49</v>
      </c>
      <c r="D34" t="s">
        <v>183</v>
      </c>
      <c r="E34" t="s">
        <v>814</v>
      </c>
      <c r="F34" t="s">
        <v>872</v>
      </c>
      <c r="G34" t="s">
        <v>872</v>
      </c>
      <c r="H34">
        <v>33</v>
      </c>
      <c r="J34" s="15">
        <v>42340</v>
      </c>
      <c r="K34">
        <v>-3.4005185</v>
      </c>
      <c r="L34">
        <v>29.420866</v>
      </c>
      <c r="M34">
        <v>1355</v>
      </c>
      <c r="N34" t="s">
        <v>64</v>
      </c>
      <c r="O34" t="s">
        <v>873</v>
      </c>
      <c r="P34" s="131">
        <f>15*30</f>
        <v>450</v>
      </c>
      <c r="Q34">
        <v>10</v>
      </c>
      <c r="R34" t="s">
        <v>781</v>
      </c>
      <c r="S34" s="18">
        <v>0</v>
      </c>
      <c r="T34" s="18">
        <v>1</v>
      </c>
      <c r="U34" s="16">
        <v>1</v>
      </c>
      <c r="V34" s="16">
        <v>7</v>
      </c>
      <c r="W34" s="16">
        <v>0</v>
      </c>
      <c r="X34" s="16" t="s">
        <v>64</v>
      </c>
      <c r="Y34" s="16">
        <v>0</v>
      </c>
      <c r="Z34" s="16" t="s">
        <v>621</v>
      </c>
      <c r="AA34" s="16" t="s">
        <v>766</v>
      </c>
      <c r="AB34" s="16" t="s">
        <v>766</v>
      </c>
      <c r="AC34" s="20">
        <v>0</v>
      </c>
      <c r="AD34" s="20" t="s">
        <v>64</v>
      </c>
      <c r="AE34" s="16" t="s">
        <v>64</v>
      </c>
      <c r="AF34" s="20" t="s">
        <v>64</v>
      </c>
      <c r="AG34" s="20" t="s">
        <v>64</v>
      </c>
      <c r="AH34" s="26" t="s">
        <v>76</v>
      </c>
      <c r="AI34" s="16">
        <v>1</v>
      </c>
      <c r="AJ34" s="16">
        <v>80</v>
      </c>
      <c r="AK34" s="16">
        <v>2.6</v>
      </c>
      <c r="AL34" s="16">
        <v>71.430000000000007</v>
      </c>
      <c r="AM34" s="16">
        <v>68.650000000000006</v>
      </c>
      <c r="AN34" s="16">
        <v>0</v>
      </c>
      <c r="AO34" s="16">
        <v>0</v>
      </c>
      <c r="AP34" s="16" t="s">
        <v>64</v>
      </c>
      <c r="AQ34" s="16" t="s">
        <v>64</v>
      </c>
      <c r="AR34" t="s">
        <v>64</v>
      </c>
      <c r="AS34" t="s">
        <v>64</v>
      </c>
      <c r="AT34" s="68" t="s">
        <v>874</v>
      </c>
    </row>
    <row r="35" spans="1:46">
      <c r="A35" t="s">
        <v>761</v>
      </c>
      <c r="B35" t="s">
        <v>48</v>
      </c>
      <c r="C35" t="s">
        <v>49</v>
      </c>
      <c r="D35" t="s">
        <v>183</v>
      </c>
      <c r="E35" t="s">
        <v>814</v>
      </c>
      <c r="F35" t="s">
        <v>875</v>
      </c>
      <c r="G35" t="s">
        <v>872</v>
      </c>
      <c r="H35">
        <v>34</v>
      </c>
      <c r="J35" s="15">
        <v>42340</v>
      </c>
      <c r="K35">
        <v>-3.3964276</v>
      </c>
      <c r="L35">
        <v>29.440875999999999</v>
      </c>
      <c r="M35">
        <v>1258</v>
      </c>
      <c r="N35" t="s">
        <v>64</v>
      </c>
      <c r="O35" t="s">
        <v>876</v>
      </c>
      <c r="P35" s="131">
        <f>25*25</f>
        <v>625</v>
      </c>
      <c r="Q35">
        <v>12</v>
      </c>
      <c r="R35" t="s">
        <v>877</v>
      </c>
      <c r="S35" s="18">
        <v>0</v>
      </c>
      <c r="T35" s="18">
        <v>1</v>
      </c>
      <c r="U35" s="16">
        <v>1</v>
      </c>
      <c r="V35" s="16">
        <v>4</v>
      </c>
      <c r="W35" s="16">
        <v>0</v>
      </c>
      <c r="X35" s="16" t="s">
        <v>64</v>
      </c>
      <c r="Y35" s="16">
        <v>0</v>
      </c>
      <c r="Z35" s="16" t="s">
        <v>782</v>
      </c>
      <c r="AA35" s="16" t="s">
        <v>766</v>
      </c>
      <c r="AB35" s="16" t="s">
        <v>766</v>
      </c>
      <c r="AC35" s="20">
        <v>0</v>
      </c>
      <c r="AD35" s="20" t="s">
        <v>64</v>
      </c>
      <c r="AE35" s="16" t="s">
        <v>64</v>
      </c>
      <c r="AF35" s="20" t="s">
        <v>64</v>
      </c>
      <c r="AG35" s="20" t="s">
        <v>64</v>
      </c>
      <c r="AH35" s="26" t="s">
        <v>76</v>
      </c>
      <c r="AI35" s="16">
        <v>1</v>
      </c>
      <c r="AJ35" s="16">
        <v>60</v>
      </c>
      <c r="AK35" s="16">
        <v>1.6</v>
      </c>
      <c r="AL35" s="137">
        <v>43.75</v>
      </c>
      <c r="AM35" s="137">
        <v>48.65</v>
      </c>
      <c r="AN35">
        <v>1</v>
      </c>
      <c r="AO35">
        <v>0</v>
      </c>
      <c r="AP35" s="16" t="s">
        <v>64</v>
      </c>
      <c r="AQ35" s="16" t="s">
        <v>64</v>
      </c>
      <c r="AR35" t="s">
        <v>64</v>
      </c>
      <c r="AS35" t="s">
        <v>64</v>
      </c>
      <c r="AT35" s="68" t="s">
        <v>878</v>
      </c>
    </row>
    <row r="36" spans="1:46">
      <c r="A36" t="s">
        <v>761</v>
      </c>
      <c r="B36" t="s">
        <v>48</v>
      </c>
      <c r="C36" t="s">
        <v>49</v>
      </c>
      <c r="D36" t="s">
        <v>183</v>
      </c>
      <c r="E36" t="s">
        <v>797</v>
      </c>
      <c r="F36" t="s">
        <v>879</v>
      </c>
      <c r="G36" t="s">
        <v>880</v>
      </c>
      <c r="H36">
        <v>35</v>
      </c>
      <c r="J36" s="15">
        <v>42340</v>
      </c>
      <c r="K36">
        <v>-3.3875700000000002</v>
      </c>
      <c r="L36">
        <v>29.454930000000001</v>
      </c>
      <c r="M36">
        <v>1248</v>
      </c>
      <c r="N36" t="s">
        <v>64</v>
      </c>
      <c r="O36" t="s">
        <v>881</v>
      </c>
      <c r="P36" s="131">
        <f>3*10</f>
        <v>30</v>
      </c>
      <c r="Q36">
        <v>8</v>
      </c>
      <c r="R36" t="s">
        <v>781</v>
      </c>
      <c r="S36" s="18">
        <v>0</v>
      </c>
      <c r="T36" s="18">
        <v>1</v>
      </c>
      <c r="U36" s="16">
        <v>1</v>
      </c>
      <c r="V36" s="16">
        <v>7</v>
      </c>
      <c r="W36" s="16">
        <v>0</v>
      </c>
      <c r="X36" s="16" t="s">
        <v>64</v>
      </c>
      <c r="Y36" s="16">
        <v>0</v>
      </c>
      <c r="Z36" s="16" t="s">
        <v>61</v>
      </c>
      <c r="AA36" s="16" t="s">
        <v>766</v>
      </c>
      <c r="AB36" s="16" t="s">
        <v>766</v>
      </c>
      <c r="AC36" s="20">
        <v>0</v>
      </c>
      <c r="AD36" s="20" t="s">
        <v>64</v>
      </c>
      <c r="AE36" s="16" t="s">
        <v>64</v>
      </c>
      <c r="AF36" s="20" t="s">
        <v>64</v>
      </c>
      <c r="AG36" s="20" t="s">
        <v>64</v>
      </c>
      <c r="AH36" t="s">
        <v>61</v>
      </c>
      <c r="AI36" s="16">
        <v>1</v>
      </c>
      <c r="AJ36" s="16">
        <v>80</v>
      </c>
      <c r="AK36" s="16">
        <v>1.8</v>
      </c>
      <c r="AL36" s="137">
        <v>23.53</v>
      </c>
      <c r="AM36" s="137">
        <v>21.64</v>
      </c>
      <c r="AN36" s="16">
        <v>0</v>
      </c>
      <c r="AO36" s="16">
        <v>0</v>
      </c>
      <c r="AP36" s="16" t="s">
        <v>64</v>
      </c>
      <c r="AQ36" s="16" t="s">
        <v>64</v>
      </c>
      <c r="AR36" t="s">
        <v>64</v>
      </c>
      <c r="AS36" t="s">
        <v>64</v>
      </c>
      <c r="AT36" s="68" t="s">
        <v>882</v>
      </c>
    </row>
    <row r="37" spans="1:46">
      <c r="A37" t="s">
        <v>761</v>
      </c>
      <c r="B37" t="s">
        <v>48</v>
      </c>
      <c r="C37" t="s">
        <v>49</v>
      </c>
      <c r="D37" t="s">
        <v>183</v>
      </c>
      <c r="E37" t="s">
        <v>797</v>
      </c>
      <c r="F37" t="s">
        <v>883</v>
      </c>
      <c r="G37" t="s">
        <v>883</v>
      </c>
      <c r="H37">
        <v>36</v>
      </c>
      <c r="J37" s="15">
        <v>42341</v>
      </c>
      <c r="K37">
        <v>-3.3535471000000001</v>
      </c>
      <c r="L37">
        <v>29.487405800000001</v>
      </c>
      <c r="M37">
        <v>1620</v>
      </c>
      <c r="N37" t="s">
        <v>64</v>
      </c>
      <c r="O37" t="s">
        <v>884</v>
      </c>
      <c r="P37" s="131">
        <v>50</v>
      </c>
      <c r="Q37">
        <v>10</v>
      </c>
      <c r="R37" t="s">
        <v>781</v>
      </c>
      <c r="S37" s="18">
        <v>1</v>
      </c>
      <c r="T37" s="18">
        <v>5</v>
      </c>
      <c r="U37" s="16">
        <v>1</v>
      </c>
      <c r="V37" s="16">
        <v>7</v>
      </c>
      <c r="W37" s="16">
        <v>0</v>
      </c>
      <c r="X37" s="16" t="s">
        <v>64</v>
      </c>
      <c r="Y37" s="16">
        <v>0</v>
      </c>
      <c r="Z37" s="16" t="s">
        <v>61</v>
      </c>
      <c r="AA37" s="16" t="s">
        <v>766</v>
      </c>
      <c r="AB37" s="16" t="s">
        <v>766</v>
      </c>
      <c r="AC37" s="20">
        <v>0</v>
      </c>
      <c r="AD37" s="20" t="s">
        <v>64</v>
      </c>
      <c r="AE37" s="16" t="s">
        <v>64</v>
      </c>
      <c r="AF37" s="20" t="s">
        <v>64</v>
      </c>
      <c r="AG37" s="20" t="s">
        <v>64</v>
      </c>
      <c r="AH37" t="s">
        <v>61</v>
      </c>
      <c r="AI37" s="16">
        <v>1</v>
      </c>
      <c r="AJ37" s="16" t="s">
        <v>64</v>
      </c>
      <c r="AK37" s="16">
        <v>1</v>
      </c>
      <c r="AL37" s="137">
        <v>0</v>
      </c>
      <c r="AM37" s="137">
        <v>0</v>
      </c>
      <c r="AN37" s="16">
        <v>0</v>
      </c>
      <c r="AO37" s="16">
        <v>0</v>
      </c>
      <c r="AP37" s="16" t="s">
        <v>64</v>
      </c>
      <c r="AQ37" s="16" t="s">
        <v>64</v>
      </c>
      <c r="AR37" t="s">
        <v>64</v>
      </c>
      <c r="AS37" t="s">
        <v>64</v>
      </c>
      <c r="AT37" s="68" t="s">
        <v>885</v>
      </c>
    </row>
    <row r="38" spans="1:46">
      <c r="A38" t="s">
        <v>761</v>
      </c>
      <c r="B38" t="s">
        <v>48</v>
      </c>
      <c r="C38" t="s">
        <v>49</v>
      </c>
      <c r="D38" t="s">
        <v>183</v>
      </c>
      <c r="E38" t="s">
        <v>797</v>
      </c>
      <c r="F38" t="s">
        <v>886</v>
      </c>
      <c r="G38" t="s">
        <v>883</v>
      </c>
      <c r="H38">
        <v>37</v>
      </c>
      <c r="J38" s="15">
        <v>42341</v>
      </c>
      <c r="K38">
        <v>-3.3657900000000001</v>
      </c>
      <c r="L38">
        <v>29.48939</v>
      </c>
      <c r="M38">
        <v>1519</v>
      </c>
      <c r="N38" t="s">
        <v>64</v>
      </c>
      <c r="O38" t="s">
        <v>887</v>
      </c>
      <c r="P38" s="131">
        <f>30*10</f>
        <v>300</v>
      </c>
      <c r="Q38">
        <v>6</v>
      </c>
      <c r="R38" t="s">
        <v>785</v>
      </c>
      <c r="S38" s="18">
        <v>1</v>
      </c>
      <c r="T38" s="18">
        <v>3</v>
      </c>
      <c r="U38" s="16">
        <v>1</v>
      </c>
      <c r="V38" s="16">
        <v>6</v>
      </c>
      <c r="W38" s="16">
        <v>0</v>
      </c>
      <c r="X38" s="16" t="s">
        <v>64</v>
      </c>
      <c r="Y38" s="16">
        <v>1</v>
      </c>
      <c r="Z38" s="16" t="s">
        <v>160</v>
      </c>
      <c r="AA38" s="16" t="s">
        <v>766</v>
      </c>
      <c r="AB38" s="16" t="s">
        <v>766</v>
      </c>
      <c r="AC38" s="20">
        <v>0</v>
      </c>
      <c r="AD38" s="20" t="s">
        <v>64</v>
      </c>
      <c r="AE38" s="16" t="s">
        <v>64</v>
      </c>
      <c r="AF38" s="20" t="s">
        <v>64</v>
      </c>
      <c r="AG38" s="20" t="s">
        <v>64</v>
      </c>
      <c r="AH38" s="20" t="s">
        <v>61</v>
      </c>
      <c r="AI38" s="16">
        <v>0</v>
      </c>
      <c r="AJ38" s="16" t="s">
        <v>64</v>
      </c>
      <c r="AK38" s="16" t="s">
        <v>64</v>
      </c>
      <c r="AL38" s="16" t="s">
        <v>64</v>
      </c>
      <c r="AM38" s="16" t="s">
        <v>64</v>
      </c>
      <c r="AN38" s="16" t="s">
        <v>64</v>
      </c>
      <c r="AO38" s="16" t="s">
        <v>64</v>
      </c>
      <c r="AP38" s="16" t="s">
        <v>64</v>
      </c>
      <c r="AQ38" s="16" t="s">
        <v>64</v>
      </c>
      <c r="AR38" t="s">
        <v>64</v>
      </c>
      <c r="AS38" t="s">
        <v>64</v>
      </c>
      <c r="AT38" s="68" t="s">
        <v>888</v>
      </c>
    </row>
    <row r="39" spans="1:46">
      <c r="A39" t="s">
        <v>761</v>
      </c>
      <c r="B39" t="s">
        <v>48</v>
      </c>
      <c r="C39" t="s">
        <v>49</v>
      </c>
      <c r="D39" t="s">
        <v>183</v>
      </c>
      <c r="E39" t="s">
        <v>797</v>
      </c>
      <c r="F39" t="s">
        <v>889</v>
      </c>
      <c r="G39" t="s">
        <v>890</v>
      </c>
      <c r="H39">
        <v>38</v>
      </c>
      <c r="J39" s="15">
        <v>42341</v>
      </c>
      <c r="K39">
        <v>-3.3798628000000002</v>
      </c>
      <c r="L39">
        <v>29.500259400000001</v>
      </c>
      <c r="M39">
        <v>1544</v>
      </c>
      <c r="N39" t="s">
        <v>64</v>
      </c>
      <c r="O39" t="s">
        <v>891</v>
      </c>
      <c r="P39" s="131">
        <f>30*20</f>
        <v>600</v>
      </c>
      <c r="Q39">
        <v>9</v>
      </c>
      <c r="R39" t="s">
        <v>781</v>
      </c>
      <c r="S39" s="18">
        <v>1</v>
      </c>
      <c r="T39" s="18">
        <v>3</v>
      </c>
      <c r="U39" s="16">
        <v>1</v>
      </c>
      <c r="V39" s="16">
        <f>AVERAGE(3,2,5,5)</f>
        <v>3.75</v>
      </c>
      <c r="W39" s="16">
        <v>0</v>
      </c>
      <c r="X39" s="16" t="s">
        <v>64</v>
      </c>
      <c r="Y39" s="16">
        <v>0</v>
      </c>
      <c r="Z39" s="16" t="s">
        <v>795</v>
      </c>
      <c r="AA39" s="16" t="s">
        <v>766</v>
      </c>
      <c r="AB39" s="16" t="s">
        <v>766</v>
      </c>
      <c r="AC39" s="20">
        <v>0</v>
      </c>
      <c r="AD39" s="20" t="s">
        <v>64</v>
      </c>
      <c r="AE39" s="16" t="s">
        <v>64</v>
      </c>
      <c r="AF39" s="20" t="s">
        <v>64</v>
      </c>
      <c r="AG39" s="20" t="s">
        <v>64</v>
      </c>
      <c r="AH39" s="20" t="s">
        <v>61</v>
      </c>
      <c r="AI39" s="16">
        <v>1</v>
      </c>
      <c r="AJ39" s="16" t="s">
        <v>64</v>
      </c>
      <c r="AK39" s="16">
        <v>1</v>
      </c>
      <c r="AL39" s="137">
        <v>5.88</v>
      </c>
      <c r="AM39" s="137">
        <v>1.41</v>
      </c>
      <c r="AN39" s="16">
        <v>0</v>
      </c>
      <c r="AO39" s="16">
        <v>0</v>
      </c>
      <c r="AP39" s="16" t="s">
        <v>64</v>
      </c>
      <c r="AQ39" s="16" t="s">
        <v>64</v>
      </c>
      <c r="AR39" t="s">
        <v>64</v>
      </c>
      <c r="AS39" t="s">
        <v>64</v>
      </c>
      <c r="AT39" s="68" t="s">
        <v>892</v>
      </c>
    </row>
    <row r="40" spans="1:46">
      <c r="A40" t="s">
        <v>761</v>
      </c>
      <c r="B40" t="s">
        <v>48</v>
      </c>
      <c r="C40" t="s">
        <v>49</v>
      </c>
      <c r="D40" t="s">
        <v>78</v>
      </c>
      <c r="E40" t="s">
        <v>78</v>
      </c>
      <c r="F40" t="s">
        <v>893</v>
      </c>
      <c r="G40" t="s">
        <v>169</v>
      </c>
      <c r="H40">
        <v>39</v>
      </c>
      <c r="J40" s="15">
        <v>42341</v>
      </c>
      <c r="K40">
        <v>-3.3126099999999998</v>
      </c>
      <c r="L40">
        <v>29.531420000000001</v>
      </c>
      <c r="M40">
        <v>1955</v>
      </c>
      <c r="N40">
        <v>71220726</v>
      </c>
      <c r="O40" t="s">
        <v>894</v>
      </c>
      <c r="P40" s="131">
        <f>10*18</f>
        <v>180</v>
      </c>
      <c r="Q40">
        <v>7</v>
      </c>
      <c r="R40" t="s">
        <v>895</v>
      </c>
      <c r="S40" s="18">
        <v>0</v>
      </c>
      <c r="T40" s="18">
        <v>1</v>
      </c>
      <c r="U40" s="16">
        <v>1</v>
      </c>
      <c r="V40" s="16">
        <f>AVERAGE(8,8,7,8,8)</f>
        <v>7.8</v>
      </c>
      <c r="W40" s="16">
        <v>0</v>
      </c>
      <c r="X40" s="16" t="s">
        <v>64</v>
      </c>
      <c r="Y40" s="16">
        <v>0</v>
      </c>
      <c r="Z40" s="16" t="s">
        <v>795</v>
      </c>
      <c r="AA40" s="16" t="s">
        <v>766</v>
      </c>
      <c r="AB40" s="16" t="s">
        <v>766</v>
      </c>
      <c r="AC40" s="20">
        <v>0</v>
      </c>
      <c r="AD40" s="20" t="s">
        <v>64</v>
      </c>
      <c r="AE40" s="16" t="s">
        <v>64</v>
      </c>
      <c r="AF40" s="20" t="s">
        <v>64</v>
      </c>
      <c r="AG40" s="20" t="s">
        <v>64</v>
      </c>
      <c r="AH40" t="s">
        <v>61</v>
      </c>
      <c r="AI40" s="16">
        <v>1</v>
      </c>
      <c r="AJ40" s="16">
        <v>20</v>
      </c>
      <c r="AK40" s="16">
        <v>1.2</v>
      </c>
      <c r="AL40" s="137">
        <v>6.25</v>
      </c>
      <c r="AM40" s="137">
        <v>6.84</v>
      </c>
      <c r="AN40" s="16">
        <v>0</v>
      </c>
      <c r="AO40" s="16">
        <v>0</v>
      </c>
      <c r="AP40" s="16" t="s">
        <v>64</v>
      </c>
      <c r="AQ40" s="16" t="s">
        <v>64</v>
      </c>
      <c r="AR40" t="s">
        <v>64</v>
      </c>
      <c r="AS40" t="s">
        <v>64</v>
      </c>
      <c r="AT40" s="68" t="s">
        <v>896</v>
      </c>
    </row>
    <row r="41" spans="1:46">
      <c r="A41" t="s">
        <v>761</v>
      </c>
      <c r="B41" t="s">
        <v>48</v>
      </c>
      <c r="C41" t="s">
        <v>49</v>
      </c>
      <c r="D41" t="s">
        <v>145</v>
      </c>
      <c r="E41" t="s">
        <v>146</v>
      </c>
      <c r="F41" t="s">
        <v>897</v>
      </c>
      <c r="G41" s="22" t="s">
        <v>64</v>
      </c>
      <c r="H41">
        <v>40</v>
      </c>
      <c r="J41" s="15">
        <v>42342</v>
      </c>
      <c r="K41">
        <v>-3.2355216000000002</v>
      </c>
      <c r="L41">
        <v>29.438734100000001</v>
      </c>
      <c r="M41">
        <v>1222</v>
      </c>
      <c r="N41" t="s">
        <v>64</v>
      </c>
      <c r="O41" t="s">
        <v>887</v>
      </c>
      <c r="P41" s="131" t="s">
        <v>64</v>
      </c>
      <c r="Q41">
        <v>6</v>
      </c>
      <c r="R41" t="s">
        <v>898</v>
      </c>
      <c r="S41" s="18">
        <v>0</v>
      </c>
      <c r="T41" s="18">
        <v>1</v>
      </c>
      <c r="U41" s="16">
        <v>1</v>
      </c>
      <c r="V41" s="16">
        <f>AVERAGE(8,8,8,7,7)</f>
        <v>7.6</v>
      </c>
      <c r="W41" s="16">
        <v>0</v>
      </c>
      <c r="X41" s="16" t="s">
        <v>64</v>
      </c>
      <c r="Y41" s="16">
        <v>0</v>
      </c>
      <c r="Z41" s="16" t="s">
        <v>899</v>
      </c>
      <c r="AA41" s="16" t="s">
        <v>766</v>
      </c>
      <c r="AB41" s="16" t="s">
        <v>766</v>
      </c>
      <c r="AC41" s="20">
        <v>0</v>
      </c>
      <c r="AD41" s="20" t="s">
        <v>64</v>
      </c>
      <c r="AE41" s="16" t="s">
        <v>64</v>
      </c>
      <c r="AF41" s="20" t="s">
        <v>64</v>
      </c>
      <c r="AG41" s="20" t="s">
        <v>64</v>
      </c>
      <c r="AH41" s="26" t="s">
        <v>76</v>
      </c>
      <c r="AI41" s="16">
        <v>1</v>
      </c>
      <c r="AJ41" s="16" t="s">
        <v>64</v>
      </c>
      <c r="AK41" s="16">
        <v>1</v>
      </c>
      <c r="AL41" s="137">
        <v>0</v>
      </c>
      <c r="AM41" s="137">
        <v>0</v>
      </c>
      <c r="AN41" s="16">
        <v>0</v>
      </c>
      <c r="AO41" s="16">
        <v>0</v>
      </c>
      <c r="AP41" s="16" t="s">
        <v>64</v>
      </c>
      <c r="AQ41" s="16" t="s">
        <v>64</v>
      </c>
      <c r="AR41" t="s">
        <v>64</v>
      </c>
      <c r="AS41" t="s">
        <v>64</v>
      </c>
      <c r="AT41" s="68" t="s">
        <v>900</v>
      </c>
    </row>
    <row r="42" spans="1:46">
      <c r="A42" t="s">
        <v>761</v>
      </c>
      <c r="B42" t="s">
        <v>48</v>
      </c>
      <c r="C42" t="s">
        <v>49</v>
      </c>
      <c r="D42" t="s">
        <v>145</v>
      </c>
      <c r="E42" t="s">
        <v>146</v>
      </c>
      <c r="F42" t="s">
        <v>901</v>
      </c>
      <c r="G42" t="s">
        <v>146</v>
      </c>
      <c r="H42">
        <v>41</v>
      </c>
      <c r="J42" s="15">
        <v>42342</v>
      </c>
      <c r="K42">
        <v>-3.2365072000000001</v>
      </c>
      <c r="L42">
        <v>29.468929299999999</v>
      </c>
      <c r="M42">
        <v>1548</v>
      </c>
      <c r="N42">
        <v>68828302</v>
      </c>
      <c r="O42" t="s">
        <v>902</v>
      </c>
      <c r="P42" s="131">
        <f>35*40</f>
        <v>1400</v>
      </c>
      <c r="Q42">
        <v>10</v>
      </c>
      <c r="R42" t="s">
        <v>903</v>
      </c>
      <c r="S42" s="18">
        <v>1</v>
      </c>
      <c r="T42" s="18">
        <v>3</v>
      </c>
      <c r="U42" s="16">
        <v>1</v>
      </c>
      <c r="V42" s="16">
        <f>AVERAGE(4,4,4,3,3)</f>
        <v>3.6</v>
      </c>
      <c r="W42" s="16">
        <v>0</v>
      </c>
      <c r="X42" s="16" t="s">
        <v>64</v>
      </c>
      <c r="Y42" s="16">
        <v>0</v>
      </c>
      <c r="Z42" s="16" t="s">
        <v>904</v>
      </c>
      <c r="AA42" s="16" t="s">
        <v>766</v>
      </c>
      <c r="AB42" s="16" t="s">
        <v>766</v>
      </c>
      <c r="AC42" s="20">
        <v>0</v>
      </c>
      <c r="AD42" s="20" t="s">
        <v>64</v>
      </c>
      <c r="AE42" s="16" t="s">
        <v>64</v>
      </c>
      <c r="AF42" s="20" t="s">
        <v>64</v>
      </c>
      <c r="AG42" s="20" t="s">
        <v>64</v>
      </c>
      <c r="AH42" t="s">
        <v>61</v>
      </c>
      <c r="AI42" s="16">
        <v>1</v>
      </c>
      <c r="AJ42" s="16">
        <v>80</v>
      </c>
      <c r="AK42" s="16">
        <v>2.2000000000000002</v>
      </c>
      <c r="AL42" s="16">
        <v>28.57</v>
      </c>
      <c r="AM42" s="16">
        <v>16.22</v>
      </c>
      <c r="AN42" s="16">
        <v>0</v>
      </c>
      <c r="AO42" s="16">
        <v>0</v>
      </c>
      <c r="AP42" s="16" t="s">
        <v>64</v>
      </c>
      <c r="AQ42" s="16" t="s">
        <v>64</v>
      </c>
      <c r="AR42" t="s">
        <v>64</v>
      </c>
      <c r="AS42" t="s">
        <v>64</v>
      </c>
      <c r="AT42" s="68" t="s">
        <v>905</v>
      </c>
    </row>
    <row r="43" spans="1:46">
      <c r="A43" t="s">
        <v>761</v>
      </c>
      <c r="B43" t="s">
        <v>48</v>
      </c>
      <c r="C43" t="s">
        <v>49</v>
      </c>
      <c r="D43" t="s">
        <v>145</v>
      </c>
      <c r="E43" t="s">
        <v>146</v>
      </c>
      <c r="F43" t="s">
        <v>890</v>
      </c>
      <c r="G43" t="s">
        <v>146</v>
      </c>
      <c r="H43">
        <v>42</v>
      </c>
      <c r="J43" s="15">
        <v>42342</v>
      </c>
      <c r="K43">
        <v>-3.2076500000000001</v>
      </c>
      <c r="L43">
        <v>29.49006</v>
      </c>
      <c r="M43">
        <v>1648</v>
      </c>
      <c r="N43">
        <v>7944530</v>
      </c>
      <c r="O43" t="s">
        <v>906</v>
      </c>
      <c r="P43" s="131">
        <f>30*25</f>
        <v>750</v>
      </c>
      <c r="Q43">
        <v>10</v>
      </c>
      <c r="R43" t="s">
        <v>781</v>
      </c>
      <c r="S43" s="18">
        <v>0</v>
      </c>
      <c r="T43" s="18">
        <v>1</v>
      </c>
      <c r="U43" s="16">
        <v>1</v>
      </c>
      <c r="V43" s="16">
        <f>AVERAGE(3,3,3,2,2)</f>
        <v>2.6</v>
      </c>
      <c r="W43" s="16">
        <v>0</v>
      </c>
      <c r="X43" s="16" t="s">
        <v>64</v>
      </c>
      <c r="Y43" s="16">
        <v>1</v>
      </c>
      <c r="Z43" s="16" t="s">
        <v>61</v>
      </c>
      <c r="AA43" s="16" t="s">
        <v>766</v>
      </c>
      <c r="AB43" s="16" t="s">
        <v>766</v>
      </c>
      <c r="AC43" s="20">
        <v>0</v>
      </c>
      <c r="AD43" s="20" t="s">
        <v>64</v>
      </c>
      <c r="AE43" s="16" t="s">
        <v>64</v>
      </c>
      <c r="AF43" s="20" t="s">
        <v>64</v>
      </c>
      <c r="AG43" s="20" t="s">
        <v>64</v>
      </c>
      <c r="AH43" t="s">
        <v>61</v>
      </c>
      <c r="AI43" s="16">
        <v>1</v>
      </c>
      <c r="AJ43" s="16">
        <v>20</v>
      </c>
      <c r="AK43" s="16">
        <v>1.2</v>
      </c>
      <c r="AL43" s="137">
        <v>11.11</v>
      </c>
      <c r="AM43" s="137">
        <v>9.76</v>
      </c>
      <c r="AN43" s="16">
        <v>0</v>
      </c>
      <c r="AO43" s="16">
        <v>0</v>
      </c>
      <c r="AP43" s="16" t="s">
        <v>64</v>
      </c>
      <c r="AQ43" s="16" t="s">
        <v>64</v>
      </c>
      <c r="AR43" t="s">
        <v>64</v>
      </c>
      <c r="AS43" t="s">
        <v>64</v>
      </c>
      <c r="AT43" s="68" t="s">
        <v>907</v>
      </c>
    </row>
    <row r="44" spans="1:46">
      <c r="A44" t="s">
        <v>761</v>
      </c>
      <c r="B44" t="s">
        <v>48</v>
      </c>
      <c r="C44" t="s">
        <v>49</v>
      </c>
      <c r="D44" t="s">
        <v>145</v>
      </c>
      <c r="E44" t="s">
        <v>146</v>
      </c>
      <c r="F44" t="s">
        <v>890</v>
      </c>
      <c r="G44" t="s">
        <v>146</v>
      </c>
      <c r="H44">
        <v>43</v>
      </c>
      <c r="J44" s="15">
        <v>42342</v>
      </c>
      <c r="K44">
        <v>-3.1884999000000001</v>
      </c>
      <c r="L44">
        <v>29.4833508</v>
      </c>
      <c r="M44">
        <v>1557</v>
      </c>
      <c r="N44">
        <v>79815093</v>
      </c>
      <c r="O44" t="s">
        <v>908</v>
      </c>
      <c r="P44" s="131">
        <f>10*15</f>
        <v>150</v>
      </c>
      <c r="Q44">
        <v>7</v>
      </c>
      <c r="R44" t="s">
        <v>781</v>
      </c>
      <c r="S44" s="18">
        <v>1</v>
      </c>
      <c r="T44" s="18">
        <v>2</v>
      </c>
      <c r="U44" s="16">
        <v>1</v>
      </c>
      <c r="V44" s="16">
        <v>8</v>
      </c>
      <c r="W44" s="16">
        <v>0</v>
      </c>
      <c r="X44" s="16" t="s">
        <v>64</v>
      </c>
      <c r="Y44" s="16">
        <v>0</v>
      </c>
      <c r="Z44" s="16" t="s">
        <v>61</v>
      </c>
      <c r="AA44" s="16" t="s">
        <v>766</v>
      </c>
      <c r="AB44" s="16" t="s">
        <v>766</v>
      </c>
      <c r="AC44" s="20">
        <v>0</v>
      </c>
      <c r="AD44" s="20" t="s">
        <v>64</v>
      </c>
      <c r="AE44" s="16" t="s">
        <v>64</v>
      </c>
      <c r="AF44" s="20" t="s">
        <v>64</v>
      </c>
      <c r="AG44" s="20" t="s">
        <v>64</v>
      </c>
      <c r="AH44" s="26" t="s">
        <v>76</v>
      </c>
      <c r="AI44" s="16">
        <v>1</v>
      </c>
      <c r="AJ44" s="16">
        <v>40</v>
      </c>
      <c r="AK44" s="16">
        <v>1.5</v>
      </c>
      <c r="AL44" s="137">
        <v>9.52</v>
      </c>
      <c r="AM44" s="137">
        <v>1.17</v>
      </c>
      <c r="AN44" s="16">
        <v>0</v>
      </c>
      <c r="AO44" s="16">
        <v>0</v>
      </c>
      <c r="AP44" s="16" t="s">
        <v>64</v>
      </c>
      <c r="AQ44" s="16" t="s">
        <v>64</v>
      </c>
      <c r="AR44" t="s">
        <v>64</v>
      </c>
      <c r="AS44" t="s">
        <v>64</v>
      </c>
      <c r="AT44" s="68" t="s">
        <v>909</v>
      </c>
    </row>
    <row r="45" spans="1:46">
      <c r="A45" t="s">
        <v>761</v>
      </c>
      <c r="B45" t="s">
        <v>48</v>
      </c>
      <c r="C45" t="s">
        <v>49</v>
      </c>
      <c r="D45" t="s">
        <v>183</v>
      </c>
      <c r="E45" t="s">
        <v>797</v>
      </c>
      <c r="F45" t="s">
        <v>889</v>
      </c>
      <c r="G45" t="s">
        <v>890</v>
      </c>
      <c r="H45" t="s">
        <v>64</v>
      </c>
      <c r="J45" s="15">
        <v>42341</v>
      </c>
      <c r="K45">
        <v>-3.3818123</v>
      </c>
      <c r="L45">
        <v>29.502378499999999</v>
      </c>
      <c r="M45">
        <v>1553</v>
      </c>
      <c r="N45" t="s">
        <v>64</v>
      </c>
      <c r="O45" t="s">
        <v>910</v>
      </c>
      <c r="P45" s="131">
        <f>34*6</f>
        <v>204</v>
      </c>
      <c r="Q45">
        <v>8</v>
      </c>
      <c r="R45" t="s">
        <v>911</v>
      </c>
      <c r="S45" s="18" t="s">
        <v>64</v>
      </c>
      <c r="T45" s="18" t="s">
        <v>64</v>
      </c>
      <c r="U45" s="16" t="s">
        <v>64</v>
      </c>
      <c r="V45" s="16" t="s">
        <v>64</v>
      </c>
      <c r="W45" s="16" t="s">
        <v>64</v>
      </c>
      <c r="X45" s="16" t="s">
        <v>64</v>
      </c>
      <c r="Y45" s="16" t="s">
        <v>64</v>
      </c>
      <c r="Z45" s="16" t="s">
        <v>64</v>
      </c>
      <c r="AA45" s="16" t="s">
        <v>64</v>
      </c>
      <c r="AB45" s="16" t="s">
        <v>64</v>
      </c>
      <c r="AC45" s="20">
        <v>0</v>
      </c>
      <c r="AD45" s="20" t="s">
        <v>64</v>
      </c>
      <c r="AE45" s="16" t="s">
        <v>64</v>
      </c>
      <c r="AF45" s="20" t="s">
        <v>64</v>
      </c>
      <c r="AG45" s="20" t="s">
        <v>64</v>
      </c>
      <c r="AH45" s="26" t="s">
        <v>76</v>
      </c>
      <c r="AI45" s="16">
        <v>1.13333333333333</v>
      </c>
      <c r="AJ45" s="16">
        <v>20</v>
      </c>
      <c r="AK45" s="16">
        <v>1.4</v>
      </c>
      <c r="AL45" s="16">
        <v>25</v>
      </c>
      <c r="AM45" s="16">
        <v>25.57</v>
      </c>
      <c r="AN45" s="16">
        <v>0</v>
      </c>
      <c r="AO45" s="16">
        <v>0</v>
      </c>
      <c r="AP45" s="16" t="s">
        <v>64</v>
      </c>
      <c r="AQ45" s="16" t="s">
        <v>64</v>
      </c>
      <c r="AR45" t="s">
        <v>64</v>
      </c>
      <c r="AS45" t="s">
        <v>64</v>
      </c>
      <c r="AT45" s="68" t="s">
        <v>912</v>
      </c>
    </row>
    <row r="46" spans="1:46">
      <c r="A46" t="s">
        <v>761</v>
      </c>
      <c r="B46" t="s">
        <v>144</v>
      </c>
      <c r="C46" t="s">
        <v>49</v>
      </c>
      <c r="D46" t="s">
        <v>913</v>
      </c>
      <c r="E46" t="s">
        <v>914</v>
      </c>
      <c r="F46" t="s">
        <v>915</v>
      </c>
      <c r="G46" t="s">
        <v>916</v>
      </c>
      <c r="H46">
        <v>1</v>
      </c>
      <c r="J46" s="15">
        <v>42590</v>
      </c>
      <c r="K46">
        <v>-3.3312914</v>
      </c>
      <c r="L46">
        <v>29.334333399999998</v>
      </c>
      <c r="M46">
        <v>783</v>
      </c>
      <c r="N46" t="s">
        <v>64</v>
      </c>
      <c r="O46" t="s">
        <v>64</v>
      </c>
      <c r="P46" s="131">
        <f>30*42</f>
        <v>1260</v>
      </c>
      <c r="Q46">
        <v>1</v>
      </c>
      <c r="R46" t="s">
        <v>917</v>
      </c>
      <c r="S46" s="18">
        <v>0</v>
      </c>
      <c r="T46" s="18">
        <v>1</v>
      </c>
      <c r="U46" s="16">
        <v>1</v>
      </c>
      <c r="V46" s="16">
        <f>AVERAGE(4,7,6,4,6)</f>
        <v>5.4</v>
      </c>
      <c r="W46" s="16">
        <v>0</v>
      </c>
      <c r="X46" s="16" t="s">
        <v>64</v>
      </c>
      <c r="Y46" s="16">
        <v>0</v>
      </c>
      <c r="Z46" s="16" t="s">
        <v>61</v>
      </c>
      <c r="AA46" s="16" t="s">
        <v>61</v>
      </c>
      <c r="AB46" s="16" t="s">
        <v>61</v>
      </c>
      <c r="AC46" s="20">
        <v>1</v>
      </c>
      <c r="AD46" s="136">
        <f>AVERAGE(25,50,17,27,26,0,0,0,0,0,0,0,0,0,0,0,0,0,0,0)</f>
        <v>7.25</v>
      </c>
      <c r="AE46" s="20">
        <f>5/20*100</f>
        <v>25</v>
      </c>
      <c r="AF46" s="20">
        <v>5</v>
      </c>
      <c r="AG46" s="20" t="s">
        <v>61</v>
      </c>
      <c r="AH46" t="s">
        <v>772</v>
      </c>
      <c r="AI46" s="16">
        <v>0</v>
      </c>
      <c r="AJ46" s="16" t="s">
        <v>64</v>
      </c>
      <c r="AK46" s="16" t="s">
        <v>64</v>
      </c>
      <c r="AL46" s="16" t="s">
        <v>64</v>
      </c>
      <c r="AM46" s="16" t="s">
        <v>64</v>
      </c>
      <c r="AN46" s="16" t="s">
        <v>64</v>
      </c>
      <c r="AO46" s="16" t="s">
        <v>64</v>
      </c>
      <c r="AP46" s="16">
        <v>0</v>
      </c>
      <c r="AQ46" s="127">
        <v>0</v>
      </c>
      <c r="AR46">
        <f>1/20*100</f>
        <v>5</v>
      </c>
      <c r="AS46" s="58">
        <f>AVERAGE(0,0,0,0,0,0,0,0,0,0,0,0,0,0,0,0,0,0,4)</f>
        <v>0.21052631578947367</v>
      </c>
    </row>
    <row r="47" spans="1:46">
      <c r="A47" t="s">
        <v>761</v>
      </c>
      <c r="B47" t="s">
        <v>144</v>
      </c>
      <c r="C47" t="s">
        <v>49</v>
      </c>
      <c r="D47" t="s">
        <v>913</v>
      </c>
      <c r="E47" t="s">
        <v>914</v>
      </c>
      <c r="F47" t="s">
        <v>915</v>
      </c>
      <c r="G47" t="s">
        <v>916</v>
      </c>
      <c r="H47">
        <v>2</v>
      </c>
      <c r="J47" s="15">
        <v>42590</v>
      </c>
      <c r="K47">
        <v>-3.3238690000000002</v>
      </c>
      <c r="L47">
        <v>29.331106200000001</v>
      </c>
      <c r="M47">
        <v>786</v>
      </c>
      <c r="N47" t="s">
        <v>64</v>
      </c>
      <c r="O47" t="s">
        <v>918</v>
      </c>
      <c r="P47" s="131">
        <f>34*12</f>
        <v>408</v>
      </c>
      <c r="Q47">
        <v>3</v>
      </c>
      <c r="R47" t="s">
        <v>919</v>
      </c>
      <c r="S47" s="18">
        <v>0</v>
      </c>
      <c r="T47" s="18">
        <v>1</v>
      </c>
      <c r="U47" s="16">
        <v>1</v>
      </c>
      <c r="V47" s="16">
        <f>AVERAGE(7,7,6,7,7)</f>
        <v>6.8</v>
      </c>
      <c r="W47" s="16">
        <v>1</v>
      </c>
      <c r="X47" s="16">
        <f>AVERAGE(2,3,0,0,0,0,0,0,0,0)</f>
        <v>0.5</v>
      </c>
      <c r="Y47" s="16">
        <v>1</v>
      </c>
      <c r="Z47" s="16" t="s">
        <v>61</v>
      </c>
      <c r="AA47" s="16" t="s">
        <v>61</v>
      </c>
      <c r="AB47" s="16" t="s">
        <v>61</v>
      </c>
      <c r="AC47" s="20">
        <v>0</v>
      </c>
      <c r="AD47" s="20" t="s">
        <v>64</v>
      </c>
      <c r="AE47" s="16" t="s">
        <v>64</v>
      </c>
      <c r="AF47" s="20" t="s">
        <v>64</v>
      </c>
      <c r="AG47" s="20" t="s">
        <v>64</v>
      </c>
      <c r="AH47" t="s">
        <v>61</v>
      </c>
      <c r="AI47" s="16">
        <v>0</v>
      </c>
      <c r="AJ47" s="16" t="s">
        <v>64</v>
      </c>
      <c r="AK47" s="16" t="s">
        <v>64</v>
      </c>
      <c r="AL47" s="16" t="s">
        <v>64</v>
      </c>
      <c r="AM47" s="16" t="s">
        <v>64</v>
      </c>
      <c r="AN47" s="16" t="s">
        <v>64</v>
      </c>
      <c r="AO47" s="16" t="s">
        <v>64</v>
      </c>
      <c r="AP47">
        <v>1</v>
      </c>
      <c r="AQ47">
        <v>0</v>
      </c>
      <c r="AR47">
        <v>0</v>
      </c>
      <c r="AS47">
        <v>0</v>
      </c>
    </row>
    <row r="48" spans="1:46">
      <c r="A48" t="s">
        <v>761</v>
      </c>
      <c r="B48" t="s">
        <v>144</v>
      </c>
      <c r="C48" t="s">
        <v>49</v>
      </c>
      <c r="D48" t="s">
        <v>145</v>
      </c>
      <c r="E48" t="s">
        <v>762</v>
      </c>
      <c r="F48" t="s">
        <v>762</v>
      </c>
      <c r="G48" t="s">
        <v>920</v>
      </c>
      <c r="H48">
        <v>3</v>
      </c>
      <c r="J48" s="15">
        <v>42590</v>
      </c>
      <c r="K48">
        <v>-3.2356712999999999</v>
      </c>
      <c r="L48">
        <v>29.335412999999999</v>
      </c>
      <c r="M48">
        <v>818</v>
      </c>
      <c r="N48" t="s">
        <v>64</v>
      </c>
      <c r="O48" t="s">
        <v>64</v>
      </c>
      <c r="P48" s="131">
        <f>21*21</f>
        <v>441</v>
      </c>
      <c r="Q48">
        <v>1.5</v>
      </c>
      <c r="R48" t="s">
        <v>919</v>
      </c>
      <c r="S48" s="18">
        <v>0</v>
      </c>
      <c r="T48" s="18">
        <v>1</v>
      </c>
      <c r="U48" s="16">
        <v>1</v>
      </c>
      <c r="V48" s="16">
        <f>AVERAGE(8,7,6,8,7)</f>
        <v>7.2</v>
      </c>
      <c r="W48" s="16">
        <v>1</v>
      </c>
      <c r="X48" s="16">
        <f>AVERAGE(2,0,0,0,0,0,0,0,0,0)</f>
        <v>0.2</v>
      </c>
      <c r="Y48" s="16">
        <v>3</v>
      </c>
      <c r="Z48" s="16" t="s">
        <v>61</v>
      </c>
      <c r="AA48" s="16" t="s">
        <v>61</v>
      </c>
      <c r="AB48" s="16" t="s">
        <v>61</v>
      </c>
      <c r="AC48" s="20">
        <v>0</v>
      </c>
      <c r="AD48" s="20" t="s">
        <v>64</v>
      </c>
      <c r="AE48" s="16" t="s">
        <v>64</v>
      </c>
      <c r="AF48" s="20" t="s">
        <v>64</v>
      </c>
      <c r="AG48" s="20" t="s">
        <v>64</v>
      </c>
      <c r="AH48" t="s">
        <v>61</v>
      </c>
      <c r="AI48" s="16">
        <v>1</v>
      </c>
      <c r="AJ48" s="16" t="s">
        <v>64</v>
      </c>
      <c r="AK48" s="16" t="s">
        <v>64</v>
      </c>
      <c r="AL48" s="16" t="s">
        <v>64</v>
      </c>
      <c r="AM48" s="16" t="s">
        <v>64</v>
      </c>
      <c r="AN48" s="62">
        <f>2</f>
        <v>2</v>
      </c>
      <c r="AO48" s="16">
        <v>0</v>
      </c>
      <c r="AP48" s="16">
        <v>0</v>
      </c>
      <c r="AQ48" s="127">
        <v>0</v>
      </c>
      <c r="AR48" s="16">
        <v>0</v>
      </c>
      <c r="AS48" s="16">
        <v>0</v>
      </c>
    </row>
    <row r="49" spans="1:48">
      <c r="A49" t="s">
        <v>761</v>
      </c>
      <c r="B49" t="s">
        <v>144</v>
      </c>
      <c r="C49" t="s">
        <v>49</v>
      </c>
      <c r="D49" t="s">
        <v>145</v>
      </c>
      <c r="E49" t="s">
        <v>762</v>
      </c>
      <c r="F49" t="s">
        <v>762</v>
      </c>
      <c r="G49" t="s">
        <v>921</v>
      </c>
      <c r="H49">
        <v>4</v>
      </c>
      <c r="J49" s="15">
        <v>42590</v>
      </c>
      <c r="K49">
        <v>-3.2078620999999998</v>
      </c>
      <c r="L49">
        <v>29.3449192</v>
      </c>
      <c r="M49">
        <v>823</v>
      </c>
      <c r="N49" t="s">
        <v>64</v>
      </c>
      <c r="O49" t="s">
        <v>64</v>
      </c>
      <c r="P49" s="131">
        <f>48*11</f>
        <v>528</v>
      </c>
      <c r="Q49">
        <v>2</v>
      </c>
      <c r="R49" t="s">
        <v>919</v>
      </c>
      <c r="S49" s="18">
        <v>0</v>
      </c>
      <c r="T49" s="18">
        <v>1</v>
      </c>
      <c r="U49" s="16">
        <v>1</v>
      </c>
      <c r="V49" s="16">
        <f>AVERAGE(7,6,6,5,5)</f>
        <v>5.8</v>
      </c>
      <c r="W49" s="16">
        <v>0</v>
      </c>
      <c r="X49" s="16" t="s">
        <v>64</v>
      </c>
      <c r="Y49" s="16">
        <v>1</v>
      </c>
      <c r="Z49" s="16" t="s">
        <v>61</v>
      </c>
      <c r="AA49" s="16" t="s">
        <v>61</v>
      </c>
      <c r="AB49" s="16" t="s">
        <v>61</v>
      </c>
      <c r="AC49" s="20">
        <v>0</v>
      </c>
      <c r="AD49" s="20" t="s">
        <v>64</v>
      </c>
      <c r="AE49" s="16" t="s">
        <v>64</v>
      </c>
      <c r="AF49" s="20" t="s">
        <v>64</v>
      </c>
      <c r="AG49" s="20" t="s">
        <v>64</v>
      </c>
      <c r="AH49" t="s">
        <v>61</v>
      </c>
      <c r="AI49" s="16">
        <v>1</v>
      </c>
      <c r="AJ49" s="16" t="s">
        <v>64</v>
      </c>
      <c r="AK49" s="16" t="s">
        <v>64</v>
      </c>
      <c r="AL49" s="16" t="s">
        <v>64</v>
      </c>
      <c r="AM49" s="16" t="s">
        <v>64</v>
      </c>
      <c r="AN49" s="62">
        <f>5</f>
        <v>5</v>
      </c>
      <c r="AO49" s="16">
        <v>0</v>
      </c>
      <c r="AP49" s="16">
        <v>0</v>
      </c>
      <c r="AQ49" s="127">
        <v>0</v>
      </c>
      <c r="AR49" s="16">
        <v>0</v>
      </c>
      <c r="AS49" s="16">
        <v>0</v>
      </c>
    </row>
    <row r="50" spans="1:48">
      <c r="A50" t="s">
        <v>761</v>
      </c>
      <c r="B50" t="s">
        <v>144</v>
      </c>
      <c r="C50" t="s">
        <v>49</v>
      </c>
      <c r="D50" t="s">
        <v>145</v>
      </c>
      <c r="E50" t="s">
        <v>762</v>
      </c>
      <c r="F50" t="s">
        <v>762</v>
      </c>
      <c r="G50" t="s">
        <v>922</v>
      </c>
      <c r="H50">
        <v>5</v>
      </c>
      <c r="J50" s="15">
        <v>42590</v>
      </c>
      <c r="K50">
        <v>-3.2084400999999998</v>
      </c>
      <c r="L50">
        <v>29.328029600000001</v>
      </c>
      <c r="M50">
        <v>819</v>
      </c>
      <c r="N50" t="s">
        <v>64</v>
      </c>
      <c r="O50" t="s">
        <v>923</v>
      </c>
      <c r="P50" s="131">
        <f>19*25</f>
        <v>475</v>
      </c>
      <c r="Q50">
        <v>2</v>
      </c>
      <c r="R50" t="s">
        <v>924</v>
      </c>
      <c r="S50" s="18">
        <v>0</v>
      </c>
      <c r="T50" s="18">
        <v>1</v>
      </c>
      <c r="U50" s="16">
        <v>1</v>
      </c>
      <c r="V50" s="16">
        <f>AVERAGE(6,6,7,5,6)</f>
        <v>6</v>
      </c>
      <c r="W50" s="16">
        <v>0</v>
      </c>
      <c r="X50" s="16" t="s">
        <v>64</v>
      </c>
      <c r="Y50" s="16">
        <v>0</v>
      </c>
      <c r="Z50" s="16" t="s">
        <v>61</v>
      </c>
      <c r="AA50" s="16" t="s">
        <v>61</v>
      </c>
      <c r="AB50" s="16" t="s">
        <v>61</v>
      </c>
      <c r="AC50" s="20">
        <v>0</v>
      </c>
      <c r="AD50" s="20" t="s">
        <v>64</v>
      </c>
      <c r="AE50" s="16" t="s">
        <v>64</v>
      </c>
      <c r="AF50" s="20" t="s">
        <v>64</v>
      </c>
      <c r="AG50" s="20" t="s">
        <v>64</v>
      </c>
      <c r="AH50" t="s">
        <v>61</v>
      </c>
      <c r="AI50" s="16">
        <v>0</v>
      </c>
      <c r="AJ50" s="16" t="s">
        <v>64</v>
      </c>
      <c r="AK50" s="16" t="s">
        <v>64</v>
      </c>
      <c r="AL50" s="16" t="s">
        <v>64</v>
      </c>
      <c r="AM50" s="16" t="s">
        <v>64</v>
      </c>
      <c r="AN50" s="16" t="s">
        <v>64</v>
      </c>
      <c r="AO50" s="16" t="s">
        <v>64</v>
      </c>
      <c r="AP50" s="16">
        <v>1</v>
      </c>
      <c r="AQ50" s="16">
        <v>0</v>
      </c>
      <c r="AR50" s="16">
        <v>0</v>
      </c>
      <c r="AS50" s="16">
        <v>0</v>
      </c>
    </row>
    <row r="51" spans="1:48">
      <c r="A51" t="s">
        <v>761</v>
      </c>
      <c r="B51" t="s">
        <v>144</v>
      </c>
      <c r="C51" t="s">
        <v>49</v>
      </c>
      <c r="D51" t="s">
        <v>145</v>
      </c>
      <c r="E51" t="s">
        <v>762</v>
      </c>
      <c r="F51" t="s">
        <v>762</v>
      </c>
      <c r="G51" t="s">
        <v>922</v>
      </c>
      <c r="H51">
        <v>6</v>
      </c>
      <c r="J51" s="15">
        <v>42590</v>
      </c>
      <c r="K51">
        <v>-3.2005913000000001</v>
      </c>
      <c r="L51">
        <v>29.326730699999999</v>
      </c>
      <c r="M51">
        <v>821</v>
      </c>
      <c r="N51" t="s">
        <v>64</v>
      </c>
      <c r="O51" t="s">
        <v>925</v>
      </c>
      <c r="P51" s="131">
        <f>15*9</f>
        <v>135</v>
      </c>
      <c r="Q51">
        <v>3</v>
      </c>
      <c r="R51" t="s">
        <v>924</v>
      </c>
      <c r="S51" s="18">
        <v>0</v>
      </c>
      <c r="T51" s="18">
        <v>1</v>
      </c>
      <c r="U51" s="16">
        <v>1</v>
      </c>
      <c r="V51" s="16">
        <f>AVERAGE(7,7,6,7,7)</f>
        <v>6.8</v>
      </c>
      <c r="W51" s="16">
        <v>0</v>
      </c>
      <c r="X51" s="16" t="s">
        <v>64</v>
      </c>
      <c r="Y51" s="16">
        <v>1</v>
      </c>
      <c r="Z51" s="16" t="s">
        <v>61</v>
      </c>
      <c r="AA51" s="16" t="s">
        <v>61</v>
      </c>
      <c r="AB51" s="16" t="s">
        <v>61</v>
      </c>
      <c r="AC51" s="20">
        <v>0</v>
      </c>
      <c r="AD51" s="20" t="s">
        <v>64</v>
      </c>
      <c r="AE51" s="16" t="s">
        <v>64</v>
      </c>
      <c r="AF51" s="20" t="s">
        <v>64</v>
      </c>
      <c r="AG51" s="20" t="s">
        <v>64</v>
      </c>
      <c r="AH51" t="s">
        <v>61</v>
      </c>
      <c r="AI51" s="16">
        <v>1</v>
      </c>
      <c r="AJ51" s="16">
        <v>0</v>
      </c>
      <c r="AK51" s="16">
        <v>0</v>
      </c>
      <c r="AL51" s="137">
        <f>8/40*100</f>
        <v>20</v>
      </c>
      <c r="AM51" s="137">
        <f>1.3/4.36*100</f>
        <v>29.816513761467888</v>
      </c>
      <c r="AN51" s="16">
        <v>0</v>
      </c>
      <c r="AO51" s="16">
        <v>0</v>
      </c>
      <c r="AP51" s="16">
        <v>0</v>
      </c>
      <c r="AQ51" s="127">
        <v>0</v>
      </c>
      <c r="AR51" s="16">
        <v>0</v>
      </c>
      <c r="AS51" s="16">
        <v>0</v>
      </c>
    </row>
    <row r="52" spans="1:48">
      <c r="A52" t="s">
        <v>761</v>
      </c>
      <c r="B52" t="s">
        <v>144</v>
      </c>
      <c r="C52" t="s">
        <v>49</v>
      </c>
      <c r="D52" t="s">
        <v>145</v>
      </c>
      <c r="E52" t="s">
        <v>762</v>
      </c>
      <c r="F52" t="s">
        <v>762</v>
      </c>
      <c r="G52" t="s">
        <v>926</v>
      </c>
      <c r="H52">
        <v>7</v>
      </c>
      <c r="J52" s="15">
        <v>42591</v>
      </c>
      <c r="K52">
        <v>-3.1946924000000001</v>
      </c>
      <c r="L52">
        <v>29.290006600000002</v>
      </c>
      <c r="M52">
        <v>814</v>
      </c>
      <c r="N52" t="s">
        <v>64</v>
      </c>
      <c r="O52" t="s">
        <v>927</v>
      </c>
      <c r="P52" s="131">
        <f>20*12</f>
        <v>240</v>
      </c>
      <c r="Q52">
        <v>5</v>
      </c>
      <c r="R52" t="s">
        <v>924</v>
      </c>
      <c r="S52" s="18">
        <v>0</v>
      </c>
      <c r="T52" s="18">
        <v>1</v>
      </c>
      <c r="U52" s="16">
        <v>1</v>
      </c>
      <c r="V52" s="16">
        <f>AVERAGE(4,6,7,5,3)</f>
        <v>5</v>
      </c>
      <c r="W52" s="16">
        <v>0</v>
      </c>
      <c r="X52" s="16" t="s">
        <v>64</v>
      </c>
      <c r="Y52" s="16">
        <v>0</v>
      </c>
      <c r="Z52" s="16" t="s">
        <v>61</v>
      </c>
      <c r="AA52" s="16" t="s">
        <v>61</v>
      </c>
      <c r="AB52" s="16" t="s">
        <v>61</v>
      </c>
      <c r="AC52" s="20">
        <v>0</v>
      </c>
      <c r="AD52" s="20" t="s">
        <v>64</v>
      </c>
      <c r="AE52" s="16" t="s">
        <v>64</v>
      </c>
      <c r="AF52" s="20" t="s">
        <v>64</v>
      </c>
      <c r="AG52" s="20" t="s">
        <v>64</v>
      </c>
      <c r="AH52" t="s">
        <v>61</v>
      </c>
      <c r="AI52" s="16">
        <v>1</v>
      </c>
      <c r="AJ52" s="16">
        <v>20</v>
      </c>
      <c r="AK52" s="16">
        <v>2</v>
      </c>
      <c r="AL52" s="137">
        <f>10/46*100</f>
        <v>21.739130434782609</v>
      </c>
      <c r="AM52" s="137">
        <f>0.45/1.31*100</f>
        <v>34.351145038167942</v>
      </c>
      <c r="AN52" s="16">
        <v>0</v>
      </c>
      <c r="AO52" s="16">
        <v>0</v>
      </c>
      <c r="AP52" s="16">
        <v>0</v>
      </c>
      <c r="AQ52" s="127">
        <v>0</v>
      </c>
      <c r="AR52" s="16">
        <v>0</v>
      </c>
      <c r="AS52" s="16">
        <v>0</v>
      </c>
    </row>
    <row r="53" spans="1:48">
      <c r="A53" t="s">
        <v>761</v>
      </c>
      <c r="B53" t="s">
        <v>144</v>
      </c>
      <c r="C53" t="s">
        <v>49</v>
      </c>
      <c r="D53" t="s">
        <v>145</v>
      </c>
      <c r="E53" t="s">
        <v>762</v>
      </c>
      <c r="F53" t="s">
        <v>762</v>
      </c>
      <c r="G53" t="s">
        <v>762</v>
      </c>
      <c r="H53">
        <v>8</v>
      </c>
      <c r="J53" s="15">
        <v>42591</v>
      </c>
      <c r="K53">
        <v>-3.1869147</v>
      </c>
      <c r="L53">
        <v>29.291931200000001</v>
      </c>
      <c r="M53">
        <v>822</v>
      </c>
      <c r="N53" t="s">
        <v>64</v>
      </c>
      <c r="O53" t="s">
        <v>928</v>
      </c>
      <c r="P53" s="131">
        <f>20*13</f>
        <v>260</v>
      </c>
      <c r="Q53">
        <v>4</v>
      </c>
      <c r="R53" t="s">
        <v>924</v>
      </c>
      <c r="S53" s="18">
        <v>0</v>
      </c>
      <c r="T53" s="18">
        <v>1</v>
      </c>
      <c r="U53" s="16">
        <v>1</v>
      </c>
      <c r="V53" s="16">
        <f>AVERAGE(5,5,5,4,5)</f>
        <v>4.8</v>
      </c>
      <c r="W53" s="16">
        <v>0</v>
      </c>
      <c r="X53" s="16" t="s">
        <v>64</v>
      </c>
      <c r="Y53" s="16">
        <v>0</v>
      </c>
      <c r="Z53" s="16" t="s">
        <v>61</v>
      </c>
      <c r="AA53" s="16" t="s">
        <v>61</v>
      </c>
      <c r="AB53" s="16" t="s">
        <v>61</v>
      </c>
      <c r="AC53" s="20">
        <v>0</v>
      </c>
      <c r="AD53" s="20" t="s">
        <v>64</v>
      </c>
      <c r="AE53" s="16" t="s">
        <v>64</v>
      </c>
      <c r="AF53" s="20" t="s">
        <v>64</v>
      </c>
      <c r="AG53" s="20" t="s">
        <v>64</v>
      </c>
      <c r="AH53" t="s">
        <v>61</v>
      </c>
      <c r="AI53" s="16">
        <v>1</v>
      </c>
      <c r="AJ53" s="16">
        <v>0</v>
      </c>
      <c r="AK53" s="16">
        <v>0</v>
      </c>
      <c r="AL53" s="137">
        <v>0</v>
      </c>
      <c r="AM53" s="137">
        <v>0</v>
      </c>
      <c r="AN53" s="16">
        <v>11</v>
      </c>
      <c r="AO53" s="16">
        <v>0</v>
      </c>
      <c r="AP53" s="16">
        <v>1</v>
      </c>
      <c r="AQ53" s="16">
        <v>0</v>
      </c>
      <c r="AR53" s="16">
        <v>0</v>
      </c>
      <c r="AS53" s="16">
        <v>0</v>
      </c>
    </row>
    <row r="54" spans="1:48">
      <c r="A54" t="s">
        <v>761</v>
      </c>
      <c r="B54" t="s">
        <v>144</v>
      </c>
      <c r="C54" t="s">
        <v>49</v>
      </c>
      <c r="D54" t="s">
        <v>929</v>
      </c>
      <c r="E54" t="s">
        <v>930</v>
      </c>
      <c r="F54" t="s">
        <v>931</v>
      </c>
      <c r="G54" t="s">
        <v>932</v>
      </c>
      <c r="H54">
        <v>9</v>
      </c>
      <c r="J54" s="15">
        <v>42591</v>
      </c>
      <c r="K54">
        <v>-3.0510087000000001</v>
      </c>
      <c r="L54">
        <v>29.2609329</v>
      </c>
      <c r="M54">
        <v>837</v>
      </c>
      <c r="N54" t="s">
        <v>64</v>
      </c>
      <c r="O54" t="s">
        <v>64</v>
      </c>
      <c r="P54" s="131">
        <f>72*30</f>
        <v>2160</v>
      </c>
      <c r="Q54">
        <v>6</v>
      </c>
      <c r="R54" t="s">
        <v>924</v>
      </c>
      <c r="S54" s="18">
        <v>0</v>
      </c>
      <c r="T54" s="18">
        <v>1</v>
      </c>
      <c r="U54" s="16">
        <v>1</v>
      </c>
      <c r="V54" s="16">
        <f>AVERAGE(3,2,2,5,5)</f>
        <v>3.4</v>
      </c>
      <c r="W54" s="16">
        <v>0</v>
      </c>
      <c r="X54" s="16" t="s">
        <v>64</v>
      </c>
      <c r="Y54" s="16">
        <v>2</v>
      </c>
      <c r="Z54" s="16" t="s">
        <v>61</v>
      </c>
      <c r="AA54" s="16" t="s">
        <v>61</v>
      </c>
      <c r="AB54" s="16" t="s">
        <v>61</v>
      </c>
      <c r="AC54" s="20">
        <v>1</v>
      </c>
      <c r="AD54" s="136">
        <f>AVERAGE(2,0,0,0,0,0,0,0,0,0,0,0,0,0,0,0,0,0,0)</f>
        <v>0.10526315789473684</v>
      </c>
      <c r="AE54" s="20">
        <f>1/20*100</f>
        <v>5</v>
      </c>
      <c r="AF54" s="20">
        <v>1</v>
      </c>
      <c r="AG54" s="20" t="s">
        <v>61</v>
      </c>
      <c r="AH54" t="s">
        <v>61</v>
      </c>
      <c r="AI54" s="16">
        <v>0</v>
      </c>
      <c r="AJ54" s="16" t="s">
        <v>64</v>
      </c>
      <c r="AK54" s="16" t="s">
        <v>64</v>
      </c>
      <c r="AL54" s="16" t="s">
        <v>64</v>
      </c>
      <c r="AM54" s="16" t="s">
        <v>64</v>
      </c>
      <c r="AN54" s="16" t="s">
        <v>64</v>
      </c>
      <c r="AO54" s="16" t="s">
        <v>64</v>
      </c>
      <c r="AP54" s="16">
        <v>0</v>
      </c>
      <c r="AQ54" s="127">
        <v>0</v>
      </c>
      <c r="AR54" s="16">
        <v>0</v>
      </c>
      <c r="AS54" s="16">
        <v>0</v>
      </c>
    </row>
    <row r="55" spans="1:48" s="16" customFormat="1">
      <c r="A55" t="s">
        <v>761</v>
      </c>
      <c r="B55" t="s">
        <v>144</v>
      </c>
      <c r="C55" t="s">
        <v>49</v>
      </c>
      <c r="D55" t="s">
        <v>145</v>
      </c>
      <c r="E55" t="s">
        <v>762</v>
      </c>
      <c r="F55" t="s">
        <v>762</v>
      </c>
      <c r="G55" t="s">
        <v>933</v>
      </c>
      <c r="H55">
        <v>10</v>
      </c>
      <c r="I55"/>
      <c r="J55" s="15">
        <v>42591</v>
      </c>
      <c r="K55">
        <v>-3.1495728000000001</v>
      </c>
      <c r="L55">
        <v>29.3413544</v>
      </c>
      <c r="M55">
        <v>853</v>
      </c>
      <c r="N55" t="s">
        <v>64</v>
      </c>
      <c r="O55" t="s">
        <v>934</v>
      </c>
      <c r="P55" s="131">
        <f>31*37</f>
        <v>1147</v>
      </c>
      <c r="Q55">
        <v>3</v>
      </c>
      <c r="R55" t="s">
        <v>935</v>
      </c>
      <c r="S55" s="18">
        <v>0</v>
      </c>
      <c r="T55" s="18">
        <v>1</v>
      </c>
      <c r="U55" s="16">
        <v>1</v>
      </c>
      <c r="V55" s="16">
        <f>AVERAGE(5,6,5,6,5)</f>
        <v>5.4</v>
      </c>
      <c r="W55" s="16">
        <v>0</v>
      </c>
      <c r="X55" s="16" t="s">
        <v>64</v>
      </c>
      <c r="Y55" s="16">
        <v>0</v>
      </c>
      <c r="Z55" s="16" t="s">
        <v>61</v>
      </c>
      <c r="AA55" s="16" t="s">
        <v>61</v>
      </c>
      <c r="AB55" s="16" t="s">
        <v>61</v>
      </c>
      <c r="AC55" s="20">
        <v>1</v>
      </c>
      <c r="AD55" s="136">
        <f>AVERAGE(10,85,5,4,0,0,0,0,0,0,0,0,0,0,0,0,0,0,0)</f>
        <v>5.4736842105263159</v>
      </c>
      <c r="AE55" s="20">
        <f>4/20*100</f>
        <v>20</v>
      </c>
      <c r="AF55" s="20">
        <v>10</v>
      </c>
      <c r="AG55" s="20" t="s">
        <v>61</v>
      </c>
      <c r="AH55" t="s">
        <v>61</v>
      </c>
      <c r="AI55" s="16">
        <v>0</v>
      </c>
      <c r="AJ55" s="16" t="s">
        <v>64</v>
      </c>
      <c r="AK55" s="16" t="s">
        <v>64</v>
      </c>
      <c r="AL55" s="16" t="s">
        <v>64</v>
      </c>
      <c r="AM55" s="16" t="s">
        <v>64</v>
      </c>
      <c r="AN55" s="16" t="s">
        <v>64</v>
      </c>
      <c r="AO55" s="16" t="s">
        <v>64</v>
      </c>
      <c r="AP55" s="16">
        <v>0</v>
      </c>
      <c r="AQ55" s="127">
        <v>0</v>
      </c>
      <c r="AR55" s="16">
        <v>0</v>
      </c>
      <c r="AS55" s="16">
        <v>0</v>
      </c>
      <c r="AT55"/>
      <c r="AU55"/>
      <c r="AV55"/>
    </row>
    <row r="56" spans="1:48">
      <c r="A56" t="s">
        <v>761</v>
      </c>
      <c r="B56" t="s">
        <v>144</v>
      </c>
      <c r="C56" t="s">
        <v>49</v>
      </c>
      <c r="D56" t="s">
        <v>145</v>
      </c>
      <c r="E56" t="s">
        <v>762</v>
      </c>
      <c r="F56" t="s">
        <v>762</v>
      </c>
      <c r="G56" t="s">
        <v>936</v>
      </c>
      <c r="H56">
        <v>11</v>
      </c>
      <c r="J56" s="15">
        <v>42591</v>
      </c>
      <c r="K56">
        <v>-3.1605189</v>
      </c>
      <c r="L56">
        <v>29.368274700000001</v>
      </c>
      <c r="M56">
        <v>847</v>
      </c>
      <c r="N56" t="s">
        <v>64</v>
      </c>
      <c r="O56" t="s">
        <v>64</v>
      </c>
      <c r="P56" s="131">
        <f>23*34</f>
        <v>782</v>
      </c>
      <c r="Q56">
        <v>2</v>
      </c>
      <c r="R56" t="s">
        <v>924</v>
      </c>
      <c r="S56" s="18">
        <v>0</v>
      </c>
      <c r="T56" s="18">
        <v>1</v>
      </c>
      <c r="U56" s="16">
        <v>1</v>
      </c>
      <c r="V56" s="16">
        <f>AVERAGE(6,5,6,7,7)</f>
        <v>6.2</v>
      </c>
      <c r="W56" s="16">
        <v>0</v>
      </c>
      <c r="X56" s="16" t="s">
        <v>64</v>
      </c>
      <c r="Y56" s="16">
        <v>0</v>
      </c>
      <c r="Z56" s="16" t="s">
        <v>61</v>
      </c>
      <c r="AA56" s="16" t="s">
        <v>61</v>
      </c>
      <c r="AB56" s="16" t="s">
        <v>61</v>
      </c>
      <c r="AC56" s="20">
        <v>0</v>
      </c>
      <c r="AD56" s="20" t="s">
        <v>64</v>
      </c>
      <c r="AE56" s="16" t="s">
        <v>64</v>
      </c>
      <c r="AF56" s="20" t="s">
        <v>64</v>
      </c>
      <c r="AG56" s="20" t="s">
        <v>64</v>
      </c>
      <c r="AH56" t="s">
        <v>61</v>
      </c>
      <c r="AI56" s="16">
        <v>1</v>
      </c>
      <c r="AJ56" s="16" t="s">
        <v>64</v>
      </c>
      <c r="AK56" s="16" t="s">
        <v>64</v>
      </c>
      <c r="AL56" s="16" t="s">
        <v>64</v>
      </c>
      <c r="AM56" s="16" t="s">
        <v>64</v>
      </c>
      <c r="AN56" s="62">
        <v>1</v>
      </c>
      <c r="AO56" s="16">
        <v>0</v>
      </c>
      <c r="AP56" s="16">
        <v>0</v>
      </c>
      <c r="AQ56" s="127">
        <v>0</v>
      </c>
      <c r="AR56" s="16">
        <f>5/20*100</f>
        <v>25</v>
      </c>
      <c r="AS56" s="137">
        <f>AVERAGE(5,3,52,14,45,0,0,0,0,0,0,0,0,0,0,0,0,0,0)</f>
        <v>6.2631578947368425</v>
      </c>
    </row>
    <row r="57" spans="1:48">
      <c r="A57" t="s">
        <v>761</v>
      </c>
      <c r="B57" t="s">
        <v>144</v>
      </c>
      <c r="C57" t="s">
        <v>49</v>
      </c>
      <c r="D57" t="s">
        <v>145</v>
      </c>
      <c r="E57" t="s">
        <v>768</v>
      </c>
      <c r="F57" t="s">
        <v>768</v>
      </c>
      <c r="G57" t="s">
        <v>937</v>
      </c>
      <c r="H57">
        <v>12</v>
      </c>
      <c r="J57" s="15">
        <v>42591</v>
      </c>
      <c r="K57">
        <v>-3.1720652999999999</v>
      </c>
      <c r="L57">
        <v>29.404100400000001</v>
      </c>
      <c r="M57">
        <v>885</v>
      </c>
      <c r="N57" t="s">
        <v>64</v>
      </c>
      <c r="O57" t="s">
        <v>938</v>
      </c>
      <c r="P57" s="131">
        <f>22*8</f>
        <v>176</v>
      </c>
      <c r="Q57">
        <v>2</v>
      </c>
      <c r="R57" t="s">
        <v>924</v>
      </c>
      <c r="S57" s="18">
        <v>0</v>
      </c>
      <c r="T57" s="18">
        <v>1</v>
      </c>
      <c r="U57" s="16">
        <v>1</v>
      </c>
      <c r="V57" s="16">
        <f>AVERAGE(6,4,3,2,2)</f>
        <v>3.4</v>
      </c>
      <c r="W57" s="16">
        <v>1</v>
      </c>
      <c r="X57" s="16">
        <f>AVERAGE(2,0,0,0,0,0,0,0,0,0)</f>
        <v>0.2</v>
      </c>
      <c r="Y57" s="16">
        <v>2</v>
      </c>
      <c r="Z57" s="16" t="s">
        <v>61</v>
      </c>
      <c r="AA57" s="16" t="s">
        <v>61</v>
      </c>
      <c r="AB57" s="16" t="s">
        <v>61</v>
      </c>
      <c r="AC57" s="20">
        <v>0</v>
      </c>
      <c r="AD57" s="20" t="s">
        <v>64</v>
      </c>
      <c r="AE57" s="16" t="s">
        <v>64</v>
      </c>
      <c r="AF57" s="20" t="s">
        <v>64</v>
      </c>
      <c r="AG57" s="20" t="s">
        <v>64</v>
      </c>
      <c r="AH57" t="s">
        <v>61</v>
      </c>
      <c r="AI57" s="16">
        <v>0</v>
      </c>
      <c r="AJ57" s="16" t="s">
        <v>64</v>
      </c>
      <c r="AK57" s="16" t="s">
        <v>64</v>
      </c>
      <c r="AL57" s="16" t="s">
        <v>64</v>
      </c>
      <c r="AM57" s="16" t="s">
        <v>64</v>
      </c>
      <c r="AN57" s="16" t="s">
        <v>64</v>
      </c>
      <c r="AO57" s="16" t="s">
        <v>64</v>
      </c>
      <c r="AP57" s="16">
        <v>0</v>
      </c>
      <c r="AQ57" s="127">
        <v>0</v>
      </c>
      <c r="AR57" s="16">
        <f>1/20*100</f>
        <v>5</v>
      </c>
      <c r="AS57" s="137">
        <f>AVERAGE(2,0,0,0,0,0,0,0,0,0,0,0,0,0,0,0,0,0,0)</f>
        <v>0.10526315789473684</v>
      </c>
    </row>
    <row r="58" spans="1:48">
      <c r="A58" t="s">
        <v>761</v>
      </c>
      <c r="B58" t="s">
        <v>144</v>
      </c>
      <c r="C58" t="s">
        <v>49</v>
      </c>
      <c r="D58" s="22" t="s">
        <v>145</v>
      </c>
      <c r="E58" s="22" t="s">
        <v>146</v>
      </c>
      <c r="F58" s="22" t="s">
        <v>939</v>
      </c>
      <c r="G58" s="22" t="s">
        <v>940</v>
      </c>
      <c r="H58">
        <v>13</v>
      </c>
      <c r="J58" s="15">
        <v>42591</v>
      </c>
      <c r="K58">
        <v>-3.2321208000000001</v>
      </c>
      <c r="L58">
        <v>29.407575600000001</v>
      </c>
      <c r="M58">
        <v>863</v>
      </c>
      <c r="N58" t="s">
        <v>64</v>
      </c>
      <c r="O58" t="s">
        <v>941</v>
      </c>
      <c r="P58" s="131">
        <v>2023</v>
      </c>
      <c r="Q58">
        <v>4</v>
      </c>
      <c r="R58" t="s">
        <v>942</v>
      </c>
      <c r="S58" s="18">
        <v>0</v>
      </c>
      <c r="T58" s="18">
        <v>1</v>
      </c>
      <c r="U58" s="16">
        <v>1</v>
      </c>
      <c r="V58" s="16">
        <f>AVERAGE(4,6,7,7,8)</f>
        <v>6.4</v>
      </c>
      <c r="W58" s="16">
        <v>1</v>
      </c>
      <c r="X58" s="16">
        <f>AVERAGE(1,0,0,0,0,0,0,0,0,0)</f>
        <v>0.1</v>
      </c>
      <c r="Y58" s="16">
        <v>1</v>
      </c>
      <c r="Z58" s="16" t="s">
        <v>61</v>
      </c>
      <c r="AA58" s="16" t="s">
        <v>61</v>
      </c>
      <c r="AB58" s="16" t="s">
        <v>61</v>
      </c>
      <c r="AC58" s="20">
        <v>1</v>
      </c>
      <c r="AD58" s="136">
        <f>AVERAGE(50,50,50,50,50,50,23,5,0,0)</f>
        <v>32.799999999999997</v>
      </c>
      <c r="AE58" s="20">
        <f>7/20*100</f>
        <v>35</v>
      </c>
      <c r="AF58" s="20">
        <v>10</v>
      </c>
      <c r="AG58" s="20" t="s">
        <v>61</v>
      </c>
      <c r="AH58" t="s">
        <v>61</v>
      </c>
      <c r="AI58" s="16">
        <v>1</v>
      </c>
      <c r="AJ58" s="16">
        <v>0</v>
      </c>
      <c r="AK58" s="16">
        <v>0</v>
      </c>
      <c r="AL58" s="137">
        <f>3/24*100</f>
        <v>12.5</v>
      </c>
      <c r="AM58" s="137">
        <f>0.31/2.13*100</f>
        <v>14.55399061032864</v>
      </c>
      <c r="AN58" s="16">
        <v>0</v>
      </c>
      <c r="AO58" s="16">
        <v>0</v>
      </c>
      <c r="AP58" s="16">
        <v>0</v>
      </c>
      <c r="AQ58" s="127">
        <v>0</v>
      </c>
      <c r="AR58" s="16">
        <f>1/20*100</f>
        <v>5</v>
      </c>
      <c r="AS58" s="137">
        <f>AVERAGE(5,0,0,0,0,0,0,0,0,0,0,0,0,0,0,0,0,0,0)</f>
        <v>0.26315789473684209</v>
      </c>
    </row>
    <row r="59" spans="1:48">
      <c r="A59" t="s">
        <v>761</v>
      </c>
      <c r="B59" t="s">
        <v>144</v>
      </c>
      <c r="C59" t="s">
        <v>49</v>
      </c>
      <c r="D59" s="22" t="s">
        <v>943</v>
      </c>
      <c r="E59" s="22" t="s">
        <v>944</v>
      </c>
      <c r="F59" s="22" t="s">
        <v>872</v>
      </c>
      <c r="G59" s="22" t="s">
        <v>945</v>
      </c>
      <c r="H59">
        <v>14</v>
      </c>
      <c r="J59" s="15">
        <v>42592</v>
      </c>
      <c r="K59">
        <v>-3.3988725999999998</v>
      </c>
      <c r="L59">
        <v>29.4030819</v>
      </c>
      <c r="M59">
        <v>1211</v>
      </c>
      <c r="N59" t="s">
        <v>64</v>
      </c>
      <c r="O59" t="s">
        <v>946</v>
      </c>
      <c r="P59" s="131">
        <f>17*11</f>
        <v>187</v>
      </c>
      <c r="Q59">
        <v>6</v>
      </c>
      <c r="R59" t="s">
        <v>781</v>
      </c>
      <c r="S59" s="18">
        <v>0</v>
      </c>
      <c r="T59" s="18">
        <v>1</v>
      </c>
      <c r="U59" s="16">
        <v>1</v>
      </c>
      <c r="V59" s="16">
        <f>AVERAGE(8,5,7,8,8)</f>
        <v>7.2</v>
      </c>
      <c r="W59" s="16">
        <v>0</v>
      </c>
      <c r="X59" s="16" t="s">
        <v>64</v>
      </c>
      <c r="Y59" s="16">
        <v>0</v>
      </c>
      <c r="Z59" s="16" t="s">
        <v>795</v>
      </c>
      <c r="AA59" s="16" t="s">
        <v>61</v>
      </c>
      <c r="AB59" s="16" t="s">
        <v>61</v>
      </c>
      <c r="AC59" s="20">
        <v>1</v>
      </c>
      <c r="AD59" s="136">
        <f>AVERAGE(400,3,18,10,28,86,13,34,27,7,23,13,18,25,11)</f>
        <v>47.733333333333334</v>
      </c>
      <c r="AE59" s="20">
        <f>15/20*100</f>
        <v>75</v>
      </c>
      <c r="AF59" s="20">
        <v>20</v>
      </c>
      <c r="AG59" s="20" t="s">
        <v>61</v>
      </c>
      <c r="AH59" t="s">
        <v>61</v>
      </c>
      <c r="AI59" s="16">
        <v>1</v>
      </c>
      <c r="AJ59" s="16" t="s">
        <v>64</v>
      </c>
      <c r="AK59" s="16" t="s">
        <v>64</v>
      </c>
      <c r="AL59" s="16" t="s">
        <v>64</v>
      </c>
      <c r="AM59" s="16" t="s">
        <v>64</v>
      </c>
      <c r="AN59" s="62">
        <v>5</v>
      </c>
      <c r="AO59" s="16">
        <v>0</v>
      </c>
      <c r="AP59" s="16">
        <v>0</v>
      </c>
      <c r="AQ59" s="127">
        <v>0</v>
      </c>
      <c r="AR59" s="16">
        <v>0</v>
      </c>
      <c r="AS59" s="16">
        <v>0</v>
      </c>
    </row>
    <row r="60" spans="1:48">
      <c r="A60" t="s">
        <v>761</v>
      </c>
      <c r="B60" t="s">
        <v>144</v>
      </c>
      <c r="C60" t="s">
        <v>49</v>
      </c>
      <c r="D60" s="22" t="s">
        <v>943</v>
      </c>
      <c r="E60" s="22" t="s">
        <v>944</v>
      </c>
      <c r="F60" s="22" t="s">
        <v>872</v>
      </c>
      <c r="G60" s="22" t="s">
        <v>947</v>
      </c>
      <c r="H60">
        <v>15</v>
      </c>
      <c r="J60" s="15">
        <v>42592</v>
      </c>
      <c r="K60">
        <v>-3.3996696000000002</v>
      </c>
      <c r="L60">
        <v>29.419775000000001</v>
      </c>
      <c r="M60">
        <v>1352</v>
      </c>
      <c r="N60" t="s">
        <v>64</v>
      </c>
      <c r="O60" t="s">
        <v>64</v>
      </c>
      <c r="P60" s="131">
        <v>1011</v>
      </c>
      <c r="Q60">
        <v>6</v>
      </c>
      <c r="R60" t="s">
        <v>948</v>
      </c>
      <c r="S60" s="18">
        <v>0</v>
      </c>
      <c r="T60" s="18">
        <v>1</v>
      </c>
      <c r="U60" s="16">
        <v>1</v>
      </c>
      <c r="V60" s="16">
        <f>AVERAGE(7,7,7,8,7)</f>
        <v>7.2</v>
      </c>
      <c r="W60" s="16">
        <v>1</v>
      </c>
      <c r="X60" s="16">
        <f>AVERAGE(20,5,30,4,2,6,6,7,9,7)</f>
        <v>9.6</v>
      </c>
      <c r="Y60" s="16">
        <v>0</v>
      </c>
      <c r="Z60" s="16" t="s">
        <v>782</v>
      </c>
      <c r="AA60" s="16" t="s">
        <v>61</v>
      </c>
      <c r="AB60" s="16" t="s">
        <v>61</v>
      </c>
      <c r="AC60" s="20">
        <v>1</v>
      </c>
      <c r="AD60" s="136">
        <f>AVERAGE(1,0,0,0,0,0,0,0,0,0,0,0,0,0,0,0,0,0)</f>
        <v>5.5555555555555552E-2</v>
      </c>
      <c r="AE60" s="20">
        <f>1/20*100</f>
        <v>5</v>
      </c>
      <c r="AF60" s="20">
        <v>1</v>
      </c>
      <c r="AG60" s="20" t="s">
        <v>61</v>
      </c>
      <c r="AH60" t="s">
        <v>61</v>
      </c>
      <c r="AI60" s="16">
        <v>0</v>
      </c>
      <c r="AJ60" s="16" t="s">
        <v>64</v>
      </c>
      <c r="AK60" s="16" t="s">
        <v>64</v>
      </c>
      <c r="AL60" s="16" t="s">
        <v>64</v>
      </c>
      <c r="AM60" s="16" t="s">
        <v>64</v>
      </c>
      <c r="AN60" s="16" t="s">
        <v>64</v>
      </c>
      <c r="AO60" s="16" t="s">
        <v>64</v>
      </c>
      <c r="AP60" s="16">
        <v>0</v>
      </c>
      <c r="AQ60" s="127">
        <v>0</v>
      </c>
      <c r="AR60" s="16">
        <v>0</v>
      </c>
      <c r="AS60" s="16">
        <v>0</v>
      </c>
    </row>
    <row r="61" spans="1:48">
      <c r="A61" t="s">
        <v>761</v>
      </c>
      <c r="B61" t="s">
        <v>144</v>
      </c>
      <c r="C61" t="s">
        <v>49</v>
      </c>
      <c r="D61" s="22" t="s">
        <v>943</v>
      </c>
      <c r="E61" s="22" t="s">
        <v>944</v>
      </c>
      <c r="F61" s="22" t="s">
        <v>872</v>
      </c>
      <c r="G61" s="22" t="s">
        <v>949</v>
      </c>
      <c r="H61">
        <v>16</v>
      </c>
      <c r="J61" s="15">
        <v>42592</v>
      </c>
      <c r="K61">
        <v>-3.40028</v>
      </c>
      <c r="L61">
        <v>29.429902999999999</v>
      </c>
      <c r="M61">
        <v>1343</v>
      </c>
      <c r="N61" t="s">
        <v>64</v>
      </c>
      <c r="O61" t="s">
        <v>64</v>
      </c>
      <c r="P61" s="131">
        <f>50*25</f>
        <v>1250</v>
      </c>
      <c r="Q61">
        <v>3</v>
      </c>
      <c r="R61" t="s">
        <v>781</v>
      </c>
      <c r="S61" s="18">
        <v>0</v>
      </c>
      <c r="T61" s="18">
        <v>1</v>
      </c>
      <c r="U61" s="16">
        <v>1</v>
      </c>
      <c r="V61" s="16">
        <f>AVERAGE(6,4,7,7,8)</f>
        <v>6.4</v>
      </c>
      <c r="W61" s="16">
        <v>1</v>
      </c>
      <c r="X61" s="16">
        <f>AVERAGE(2,10,6,8,5,12,2,2,0,0)</f>
        <v>4.7</v>
      </c>
      <c r="Y61" s="16">
        <v>0</v>
      </c>
      <c r="Z61" s="16" t="s">
        <v>782</v>
      </c>
      <c r="AA61" s="16" t="s">
        <v>61</v>
      </c>
      <c r="AB61" s="16" t="s">
        <v>61</v>
      </c>
      <c r="AC61" s="20">
        <v>0</v>
      </c>
      <c r="AD61" s="20" t="s">
        <v>64</v>
      </c>
      <c r="AE61" s="16" t="s">
        <v>64</v>
      </c>
      <c r="AF61" s="20" t="s">
        <v>64</v>
      </c>
      <c r="AG61" s="20" t="s">
        <v>64</v>
      </c>
      <c r="AH61" t="s">
        <v>61</v>
      </c>
      <c r="AI61" s="16">
        <v>0</v>
      </c>
      <c r="AJ61" s="16" t="s">
        <v>64</v>
      </c>
      <c r="AK61" s="16" t="s">
        <v>64</v>
      </c>
      <c r="AL61" s="16" t="s">
        <v>64</v>
      </c>
      <c r="AM61" s="16" t="s">
        <v>64</v>
      </c>
      <c r="AN61" s="16" t="s">
        <v>64</v>
      </c>
      <c r="AO61" s="16" t="s">
        <v>64</v>
      </c>
      <c r="AP61" s="16">
        <v>0</v>
      </c>
      <c r="AQ61" s="127">
        <v>0</v>
      </c>
      <c r="AR61" s="16">
        <v>0</v>
      </c>
      <c r="AS61" s="16">
        <v>0</v>
      </c>
    </row>
    <row r="62" spans="1:48">
      <c r="A62" t="s">
        <v>761</v>
      </c>
      <c r="B62" t="s">
        <v>144</v>
      </c>
      <c r="C62" t="s">
        <v>49</v>
      </c>
      <c r="D62" s="22" t="s">
        <v>943</v>
      </c>
      <c r="E62" s="22" t="s">
        <v>944</v>
      </c>
      <c r="F62" s="22" t="s">
        <v>872</v>
      </c>
      <c r="G62" s="22" t="s">
        <v>875</v>
      </c>
      <c r="H62">
        <v>17</v>
      </c>
      <c r="J62" s="15">
        <v>42592</v>
      </c>
      <c r="K62">
        <v>-3.3939420999999999</v>
      </c>
      <c r="L62">
        <v>29.440424</v>
      </c>
      <c r="M62">
        <v>1274</v>
      </c>
      <c r="N62" t="s">
        <v>64</v>
      </c>
      <c r="O62" t="s">
        <v>950</v>
      </c>
      <c r="P62" s="131">
        <f>10*23</f>
        <v>230</v>
      </c>
      <c r="Q62">
        <v>6</v>
      </c>
      <c r="R62" t="s">
        <v>781</v>
      </c>
      <c r="S62" s="18">
        <v>0</v>
      </c>
      <c r="T62" s="18">
        <v>1</v>
      </c>
      <c r="U62" s="16">
        <v>1</v>
      </c>
      <c r="V62" s="16">
        <f>AVERAGE(4,4,4,4,2)</f>
        <v>3.6</v>
      </c>
      <c r="W62" s="16">
        <v>1</v>
      </c>
      <c r="X62" s="16">
        <f>AVERAGE(2,1,1,0,0,0,0,0,0,0,0,0,0)</f>
        <v>0.30769230769230771</v>
      </c>
      <c r="Y62" s="16">
        <v>0</v>
      </c>
      <c r="Z62" s="16" t="s">
        <v>782</v>
      </c>
      <c r="AA62" s="16" t="s">
        <v>61</v>
      </c>
      <c r="AB62" s="16" t="s">
        <v>61</v>
      </c>
      <c r="AC62" s="20">
        <v>1</v>
      </c>
      <c r="AD62" s="136">
        <f>AVERAGE(25,62,0,0,0,0,0,0,0,0,0,0,0,0,0,0,0,0,0)</f>
        <v>4.5789473684210522</v>
      </c>
      <c r="AE62" s="20">
        <f>2/20*100</f>
        <v>10</v>
      </c>
      <c r="AF62" s="20">
        <v>5</v>
      </c>
      <c r="AG62" s="20" t="s">
        <v>61</v>
      </c>
      <c r="AH62" t="s">
        <v>61</v>
      </c>
      <c r="AI62" s="16">
        <v>1</v>
      </c>
      <c r="AJ62" s="16">
        <v>0</v>
      </c>
      <c r="AK62" s="16">
        <v>0</v>
      </c>
      <c r="AL62" s="137">
        <f>7/17*100</f>
        <v>41.17647058823529</v>
      </c>
      <c r="AM62" s="137">
        <f>0.43/1.72*100</f>
        <v>25</v>
      </c>
      <c r="AN62" s="16">
        <v>0</v>
      </c>
      <c r="AO62" s="16">
        <v>0</v>
      </c>
      <c r="AP62" s="16">
        <v>0</v>
      </c>
      <c r="AQ62" s="127">
        <v>0</v>
      </c>
      <c r="AR62" s="16">
        <f>1/20*100</f>
        <v>5</v>
      </c>
      <c r="AS62" s="137">
        <f>AVERAGE(1,0,0,0,0,0,0,0,0,0,0,0,0,0,0,0,0,0,0)</f>
        <v>5.2631578947368418E-2</v>
      </c>
    </row>
    <row r="63" spans="1:48">
      <c r="A63" t="s">
        <v>761</v>
      </c>
      <c r="B63" t="s">
        <v>144</v>
      </c>
      <c r="C63" t="s">
        <v>49</v>
      </c>
      <c r="D63" s="22" t="s">
        <v>943</v>
      </c>
      <c r="E63" s="22" t="s">
        <v>944</v>
      </c>
      <c r="F63" s="22" t="s">
        <v>872</v>
      </c>
      <c r="G63" s="22" t="s">
        <v>64</v>
      </c>
      <c r="H63">
        <v>18</v>
      </c>
      <c r="J63" s="15">
        <v>42592</v>
      </c>
      <c r="K63">
        <v>-3.3867769999999999</v>
      </c>
      <c r="L63">
        <v>29.4459743</v>
      </c>
      <c r="M63">
        <v>1220</v>
      </c>
      <c r="N63" t="s">
        <v>64</v>
      </c>
      <c r="O63" t="s">
        <v>64</v>
      </c>
      <c r="P63" s="131">
        <f>11*9</f>
        <v>99</v>
      </c>
      <c r="Q63">
        <v>3</v>
      </c>
      <c r="R63" t="s">
        <v>781</v>
      </c>
      <c r="S63" s="18">
        <v>0</v>
      </c>
      <c r="T63" s="18">
        <v>1</v>
      </c>
      <c r="U63" s="16">
        <v>1</v>
      </c>
      <c r="V63" s="16">
        <f>AVERAGE(2,4,3,5,2)</f>
        <v>3.2</v>
      </c>
      <c r="W63" s="16">
        <v>0</v>
      </c>
      <c r="X63" s="16" t="s">
        <v>64</v>
      </c>
      <c r="Y63" s="16">
        <v>0</v>
      </c>
      <c r="Z63" s="16" t="s">
        <v>782</v>
      </c>
      <c r="AA63" s="16" t="s">
        <v>61</v>
      </c>
      <c r="AB63" s="16" t="s">
        <v>61</v>
      </c>
      <c r="AC63" s="20">
        <v>1</v>
      </c>
      <c r="AD63" s="136">
        <f>AVERAGE(10,84,52,0,0,0,0,0,0,0,0,0,0,0,0,0,0,0,0)</f>
        <v>7.6842105263157894</v>
      </c>
      <c r="AE63" s="20">
        <f>3/20*100</f>
        <v>15</v>
      </c>
      <c r="AF63" s="20">
        <v>2</v>
      </c>
      <c r="AG63" s="20" t="s">
        <v>61</v>
      </c>
      <c r="AH63" t="s">
        <v>61</v>
      </c>
      <c r="AI63" s="16">
        <v>1</v>
      </c>
      <c r="AJ63" s="16" t="s">
        <v>64</v>
      </c>
      <c r="AK63" s="16" t="s">
        <v>64</v>
      </c>
      <c r="AL63" s="16" t="s">
        <v>64</v>
      </c>
      <c r="AM63" s="16" t="s">
        <v>64</v>
      </c>
      <c r="AN63" s="62">
        <v>1</v>
      </c>
      <c r="AO63" s="16">
        <v>0</v>
      </c>
      <c r="AP63" s="16">
        <v>0</v>
      </c>
      <c r="AQ63" s="127">
        <v>0</v>
      </c>
      <c r="AR63" s="16">
        <v>0</v>
      </c>
      <c r="AS63" s="16">
        <v>0</v>
      </c>
    </row>
    <row r="64" spans="1:48">
      <c r="A64" t="s">
        <v>761</v>
      </c>
      <c r="B64" t="s">
        <v>144</v>
      </c>
      <c r="C64" t="s">
        <v>49</v>
      </c>
      <c r="D64" s="22" t="s">
        <v>943</v>
      </c>
      <c r="E64" s="22" t="s">
        <v>797</v>
      </c>
      <c r="F64" s="22" t="s">
        <v>883</v>
      </c>
      <c r="G64" s="22" t="s">
        <v>951</v>
      </c>
      <c r="H64">
        <v>19</v>
      </c>
      <c r="J64" s="15">
        <v>42592</v>
      </c>
      <c r="K64">
        <v>-3.3840151000000001</v>
      </c>
      <c r="L64">
        <v>29.470344499999999</v>
      </c>
      <c r="M64">
        <v>1368</v>
      </c>
      <c r="N64" t="s">
        <v>64</v>
      </c>
      <c r="O64" t="s">
        <v>64</v>
      </c>
      <c r="P64" s="131">
        <f>30*20</f>
        <v>600</v>
      </c>
      <c r="Q64">
        <v>3</v>
      </c>
      <c r="R64" t="s">
        <v>781</v>
      </c>
      <c r="S64" s="18">
        <v>1</v>
      </c>
      <c r="T64" s="18">
        <f>AVERAGE(1,1,1,2,2)</f>
        <v>1.4</v>
      </c>
      <c r="U64" s="16">
        <v>1</v>
      </c>
      <c r="V64" s="16">
        <f>AVERAGE(5,4,7,5,5)</f>
        <v>5.2</v>
      </c>
      <c r="W64" s="16">
        <v>0</v>
      </c>
      <c r="X64" s="16" t="s">
        <v>64</v>
      </c>
      <c r="Y64" s="16">
        <v>0</v>
      </c>
      <c r="Z64" s="16" t="s">
        <v>782</v>
      </c>
      <c r="AA64" s="16" t="s">
        <v>61</v>
      </c>
      <c r="AB64" s="16" t="s">
        <v>61</v>
      </c>
      <c r="AC64" s="20">
        <v>0</v>
      </c>
      <c r="AD64" s="20" t="s">
        <v>64</v>
      </c>
      <c r="AE64" s="16" t="s">
        <v>64</v>
      </c>
      <c r="AF64" s="20" t="s">
        <v>64</v>
      </c>
      <c r="AG64" s="20" t="s">
        <v>64</v>
      </c>
      <c r="AH64" t="s">
        <v>61</v>
      </c>
      <c r="AI64" s="16">
        <v>0</v>
      </c>
      <c r="AJ64" s="16" t="s">
        <v>64</v>
      </c>
      <c r="AK64" s="16" t="s">
        <v>64</v>
      </c>
      <c r="AL64" s="16" t="s">
        <v>64</v>
      </c>
      <c r="AM64" s="16" t="s">
        <v>64</v>
      </c>
      <c r="AN64" s="16" t="s">
        <v>64</v>
      </c>
      <c r="AO64" s="16" t="s">
        <v>64</v>
      </c>
      <c r="AP64" s="16">
        <v>0</v>
      </c>
      <c r="AQ64" s="127">
        <v>0</v>
      </c>
      <c r="AR64" s="16">
        <v>0</v>
      </c>
      <c r="AS64" s="16">
        <v>0</v>
      </c>
    </row>
    <row r="65" spans="1:48">
      <c r="A65" t="s">
        <v>761</v>
      </c>
      <c r="B65" t="s">
        <v>144</v>
      </c>
      <c r="C65" t="s">
        <v>49</v>
      </c>
      <c r="D65" s="22" t="s">
        <v>943</v>
      </c>
      <c r="E65" s="22" t="s">
        <v>797</v>
      </c>
      <c r="F65" s="22" t="s">
        <v>883</v>
      </c>
      <c r="G65" s="22" t="s">
        <v>951</v>
      </c>
      <c r="H65">
        <v>20</v>
      </c>
      <c r="J65" s="15">
        <v>42592</v>
      </c>
      <c r="K65">
        <v>-3.3679724000000002</v>
      </c>
      <c r="L65">
        <v>29.488883999999999</v>
      </c>
      <c r="M65">
        <v>1504</v>
      </c>
      <c r="N65" t="s">
        <v>64</v>
      </c>
      <c r="O65" t="s">
        <v>64</v>
      </c>
      <c r="P65" s="131">
        <f>17*13</f>
        <v>221</v>
      </c>
      <c r="Q65">
        <v>1.5</v>
      </c>
      <c r="R65" t="s">
        <v>781</v>
      </c>
      <c r="S65" s="18">
        <v>0</v>
      </c>
      <c r="T65" s="18">
        <v>1</v>
      </c>
      <c r="U65" s="16">
        <v>1</v>
      </c>
      <c r="V65" s="16">
        <f>AVERAGE(3,7,7,3,6)</f>
        <v>5.2</v>
      </c>
      <c r="W65" s="16">
        <v>1</v>
      </c>
      <c r="X65" s="16">
        <f>AVERAGE(1,1,2,2,1,2,0,0,0,0)</f>
        <v>0.9</v>
      </c>
      <c r="Y65" s="16">
        <v>2</v>
      </c>
      <c r="Z65" s="16" t="s">
        <v>782</v>
      </c>
      <c r="AA65" s="16" t="s">
        <v>61</v>
      </c>
      <c r="AB65" s="16" t="s">
        <v>61</v>
      </c>
      <c r="AC65" s="20">
        <v>0</v>
      </c>
      <c r="AD65" s="20" t="s">
        <v>64</v>
      </c>
      <c r="AE65" s="16" t="s">
        <v>64</v>
      </c>
      <c r="AF65" s="20" t="s">
        <v>64</v>
      </c>
      <c r="AG65" s="20" t="s">
        <v>64</v>
      </c>
      <c r="AH65" t="s">
        <v>61</v>
      </c>
      <c r="AI65" s="16">
        <v>1</v>
      </c>
      <c r="AJ65" s="16" t="s">
        <v>64</v>
      </c>
      <c r="AK65" s="16" t="s">
        <v>64</v>
      </c>
      <c r="AL65" s="16" t="s">
        <v>64</v>
      </c>
      <c r="AM65" s="16" t="s">
        <v>64</v>
      </c>
      <c r="AN65" s="62">
        <v>1</v>
      </c>
      <c r="AO65" s="16">
        <v>0</v>
      </c>
      <c r="AP65" s="16">
        <v>0</v>
      </c>
      <c r="AQ65" s="127">
        <v>0</v>
      </c>
      <c r="AR65" s="16">
        <f>1/20*100</f>
        <v>5</v>
      </c>
      <c r="AS65" s="137">
        <f>AVERAGE(1,0,0,0,0,0,0,0,0,0,0,0,0,0,0,0,0,0,0)</f>
        <v>5.2631578947368418E-2</v>
      </c>
    </row>
    <row r="66" spans="1:48">
      <c r="A66" t="s">
        <v>761</v>
      </c>
      <c r="B66" t="s">
        <v>144</v>
      </c>
      <c r="C66" t="s">
        <v>49</v>
      </c>
      <c r="D66" s="22" t="s">
        <v>943</v>
      </c>
      <c r="E66" s="22" t="s">
        <v>797</v>
      </c>
      <c r="F66" s="22" t="s">
        <v>883</v>
      </c>
      <c r="G66" s="22" t="s">
        <v>952</v>
      </c>
      <c r="H66">
        <v>21</v>
      </c>
      <c r="J66" s="15">
        <v>42592</v>
      </c>
      <c r="K66">
        <v>-3.3532999000000001</v>
      </c>
      <c r="L66">
        <v>29.4865557</v>
      </c>
      <c r="M66">
        <v>1627</v>
      </c>
      <c r="N66" t="s">
        <v>64</v>
      </c>
      <c r="O66" t="s">
        <v>953</v>
      </c>
      <c r="P66" s="131">
        <f>10*20</f>
        <v>200</v>
      </c>
      <c r="Q66" t="s">
        <v>64</v>
      </c>
      <c r="R66" t="s">
        <v>781</v>
      </c>
      <c r="S66" s="18">
        <v>0</v>
      </c>
      <c r="T66" s="18">
        <v>1</v>
      </c>
      <c r="U66" s="16">
        <v>1</v>
      </c>
      <c r="V66" s="16">
        <f>AVERAGE(7,6,7,7,7)</f>
        <v>6.8</v>
      </c>
      <c r="W66" s="16">
        <v>1</v>
      </c>
      <c r="X66" s="16">
        <f>AVERAGE(1,4,1,1,1,0,0,0,0,0)</f>
        <v>0.8</v>
      </c>
      <c r="Y66" s="16">
        <v>1</v>
      </c>
      <c r="Z66" s="16" t="s">
        <v>61</v>
      </c>
      <c r="AA66" s="16" t="s">
        <v>61</v>
      </c>
      <c r="AB66" s="16" t="s">
        <v>61</v>
      </c>
      <c r="AC66" s="20">
        <v>0</v>
      </c>
      <c r="AD66" s="20" t="s">
        <v>64</v>
      </c>
      <c r="AE66" s="16" t="s">
        <v>64</v>
      </c>
      <c r="AF66" s="20" t="s">
        <v>64</v>
      </c>
      <c r="AG66" s="20" t="s">
        <v>64</v>
      </c>
      <c r="AH66" t="s">
        <v>61</v>
      </c>
      <c r="AI66" s="16">
        <v>0</v>
      </c>
      <c r="AJ66" s="16" t="s">
        <v>64</v>
      </c>
      <c r="AK66" s="16" t="s">
        <v>64</v>
      </c>
      <c r="AL66" s="16" t="s">
        <v>64</v>
      </c>
      <c r="AM66" s="16" t="s">
        <v>64</v>
      </c>
      <c r="AN66" s="16" t="s">
        <v>64</v>
      </c>
      <c r="AO66" s="16" t="s">
        <v>64</v>
      </c>
      <c r="AP66" s="16">
        <v>0</v>
      </c>
      <c r="AQ66" s="127">
        <v>0</v>
      </c>
      <c r="AR66" s="16">
        <f>6/20*100</f>
        <v>30</v>
      </c>
      <c r="AS66" s="137">
        <f>AVERAGE(12,5,1,2,2,3,0,0,0,0,0,0,0,0,0,0,0,0,0)</f>
        <v>1.3157894736842106</v>
      </c>
    </row>
    <row r="67" spans="1:48">
      <c r="A67" t="s">
        <v>761</v>
      </c>
      <c r="B67" t="s">
        <v>144</v>
      </c>
      <c r="C67" t="s">
        <v>49</v>
      </c>
      <c r="D67" s="22" t="s">
        <v>943</v>
      </c>
      <c r="E67" s="22" t="s">
        <v>797</v>
      </c>
      <c r="F67" s="22" t="s">
        <v>883</v>
      </c>
      <c r="G67" s="22" t="s">
        <v>954</v>
      </c>
      <c r="H67">
        <v>22</v>
      </c>
      <c r="J67" s="15">
        <v>42592</v>
      </c>
      <c r="K67">
        <v>-3.3406104999999999</v>
      </c>
      <c r="L67">
        <v>29.482475300000001</v>
      </c>
      <c r="M67">
        <v>1653</v>
      </c>
      <c r="N67" t="s">
        <v>64</v>
      </c>
      <c r="O67" t="s">
        <v>955</v>
      </c>
      <c r="P67" s="131">
        <f>8*15</f>
        <v>120</v>
      </c>
      <c r="Q67">
        <v>3</v>
      </c>
      <c r="R67" t="s">
        <v>781</v>
      </c>
      <c r="S67" s="18">
        <v>0</v>
      </c>
      <c r="T67" s="18">
        <v>1</v>
      </c>
      <c r="U67" s="16">
        <v>1</v>
      </c>
      <c r="V67" s="16">
        <f>AVERAGE(6,7,8,7,8)</f>
        <v>7.2</v>
      </c>
      <c r="W67" s="16">
        <v>1</v>
      </c>
      <c r="X67" s="16">
        <f>AVERAGE(1,1,1,1,2,2)</f>
        <v>1.3333333333333333</v>
      </c>
      <c r="Y67" s="16">
        <v>2</v>
      </c>
      <c r="Z67" s="16" t="s">
        <v>61</v>
      </c>
      <c r="AA67" s="16" t="s">
        <v>61</v>
      </c>
      <c r="AB67" s="16" t="s">
        <v>61</v>
      </c>
      <c r="AC67" s="20">
        <v>0</v>
      </c>
      <c r="AD67" s="20" t="s">
        <v>64</v>
      </c>
      <c r="AE67" s="16" t="s">
        <v>64</v>
      </c>
      <c r="AF67" s="20" t="s">
        <v>64</v>
      </c>
      <c r="AG67" s="20" t="s">
        <v>64</v>
      </c>
      <c r="AH67" t="s">
        <v>61</v>
      </c>
      <c r="AI67" s="16">
        <v>0</v>
      </c>
      <c r="AJ67" s="16" t="s">
        <v>64</v>
      </c>
      <c r="AK67" s="16" t="s">
        <v>64</v>
      </c>
      <c r="AL67" s="16" t="s">
        <v>64</v>
      </c>
      <c r="AM67" s="16" t="s">
        <v>64</v>
      </c>
      <c r="AN67" s="16" t="s">
        <v>64</v>
      </c>
      <c r="AO67" s="16" t="s">
        <v>64</v>
      </c>
      <c r="AP67" s="16">
        <v>0</v>
      </c>
      <c r="AQ67" s="127">
        <v>0</v>
      </c>
      <c r="AR67" s="16">
        <v>0</v>
      </c>
      <c r="AS67" s="16">
        <v>0</v>
      </c>
    </row>
    <row r="68" spans="1:48">
      <c r="A68" t="s">
        <v>761</v>
      </c>
      <c r="B68" t="s">
        <v>144</v>
      </c>
      <c r="C68" t="s">
        <v>49</v>
      </c>
      <c r="D68" s="22" t="s">
        <v>943</v>
      </c>
      <c r="E68" s="22" t="s">
        <v>797</v>
      </c>
      <c r="F68" s="22" t="s">
        <v>799</v>
      </c>
      <c r="G68" s="22" t="s">
        <v>956</v>
      </c>
      <c r="H68">
        <v>23</v>
      </c>
      <c r="J68" s="15">
        <v>42593</v>
      </c>
      <c r="K68">
        <v>-3.3196208</v>
      </c>
      <c r="L68">
        <v>29.446569400000001</v>
      </c>
      <c r="M68">
        <v>1328</v>
      </c>
      <c r="N68" t="s">
        <v>64</v>
      </c>
      <c r="O68" t="s">
        <v>957</v>
      </c>
      <c r="P68" s="131">
        <f>30*50</f>
        <v>1500</v>
      </c>
      <c r="Q68">
        <v>6</v>
      </c>
      <c r="R68" t="s">
        <v>781</v>
      </c>
      <c r="S68" s="18">
        <v>0</v>
      </c>
      <c r="T68" s="18">
        <v>1</v>
      </c>
      <c r="U68" s="16">
        <v>1</v>
      </c>
      <c r="V68" s="16">
        <f>AVERAGE(8,8,7,7,7)</f>
        <v>7.4</v>
      </c>
      <c r="W68" s="16">
        <v>0</v>
      </c>
      <c r="X68" s="16" t="s">
        <v>64</v>
      </c>
      <c r="Y68" s="16">
        <v>0</v>
      </c>
      <c r="Z68" s="16" t="s">
        <v>782</v>
      </c>
      <c r="AA68" s="16" t="s">
        <v>61</v>
      </c>
      <c r="AB68" s="16" t="s">
        <v>61</v>
      </c>
      <c r="AC68" s="20">
        <v>0</v>
      </c>
      <c r="AD68" s="20" t="s">
        <v>64</v>
      </c>
      <c r="AE68" s="16" t="s">
        <v>64</v>
      </c>
      <c r="AF68" s="20" t="s">
        <v>64</v>
      </c>
      <c r="AG68" s="20" t="s">
        <v>64</v>
      </c>
      <c r="AH68" t="s">
        <v>61</v>
      </c>
      <c r="AI68" s="16">
        <v>0</v>
      </c>
      <c r="AJ68" s="16" t="s">
        <v>64</v>
      </c>
      <c r="AK68" s="16" t="s">
        <v>64</v>
      </c>
      <c r="AL68" s="16" t="s">
        <v>64</v>
      </c>
      <c r="AM68" s="16" t="s">
        <v>64</v>
      </c>
      <c r="AN68" s="16" t="s">
        <v>64</v>
      </c>
      <c r="AO68" s="16" t="s">
        <v>64</v>
      </c>
      <c r="AP68" s="16">
        <v>0</v>
      </c>
      <c r="AQ68" s="127">
        <v>0</v>
      </c>
      <c r="AR68" s="16">
        <v>0</v>
      </c>
      <c r="AS68" s="16">
        <v>0</v>
      </c>
    </row>
    <row r="69" spans="1:48">
      <c r="A69" t="s">
        <v>761</v>
      </c>
      <c r="B69" t="s">
        <v>144</v>
      </c>
      <c r="C69" t="s">
        <v>49</v>
      </c>
      <c r="D69" s="22" t="s">
        <v>943</v>
      </c>
      <c r="E69" s="22" t="s">
        <v>797</v>
      </c>
      <c r="F69" s="22" t="s">
        <v>799</v>
      </c>
      <c r="G69" s="22" t="s">
        <v>799</v>
      </c>
      <c r="H69">
        <v>24</v>
      </c>
      <c r="J69" s="15">
        <v>42593</v>
      </c>
      <c r="K69">
        <v>-3.3251050000000002</v>
      </c>
      <c r="L69">
        <v>29.457960100000001</v>
      </c>
      <c r="M69">
        <v>1288</v>
      </c>
      <c r="N69" t="s">
        <v>64</v>
      </c>
      <c r="O69" t="s">
        <v>958</v>
      </c>
      <c r="P69" s="131">
        <f>12*25</f>
        <v>300</v>
      </c>
      <c r="Q69">
        <v>10</v>
      </c>
      <c r="R69" t="s">
        <v>959</v>
      </c>
      <c r="S69" s="18">
        <v>0</v>
      </c>
      <c r="T69" s="18">
        <v>1</v>
      </c>
      <c r="U69" s="16">
        <v>1</v>
      </c>
      <c r="V69" s="16">
        <f>AVERAGE(6,7,6,6,7)</f>
        <v>6.4</v>
      </c>
      <c r="W69" s="16">
        <v>0</v>
      </c>
      <c r="X69" s="16" t="s">
        <v>64</v>
      </c>
      <c r="Y69" s="16">
        <v>0</v>
      </c>
      <c r="Z69" s="16" t="s">
        <v>782</v>
      </c>
      <c r="AA69" s="16" t="s">
        <v>61</v>
      </c>
      <c r="AB69" s="16" t="s">
        <v>61</v>
      </c>
      <c r="AC69" s="20">
        <v>0</v>
      </c>
      <c r="AD69" s="20" t="s">
        <v>64</v>
      </c>
      <c r="AE69" s="16" t="s">
        <v>64</v>
      </c>
      <c r="AF69" s="20" t="s">
        <v>64</v>
      </c>
      <c r="AG69" s="20" t="s">
        <v>64</v>
      </c>
      <c r="AH69" t="s">
        <v>61</v>
      </c>
      <c r="AI69" s="16">
        <v>0</v>
      </c>
      <c r="AJ69" s="16" t="s">
        <v>64</v>
      </c>
      <c r="AK69" s="16" t="s">
        <v>64</v>
      </c>
      <c r="AL69" s="16" t="s">
        <v>64</v>
      </c>
      <c r="AM69" s="16" t="s">
        <v>64</v>
      </c>
      <c r="AN69" s="16" t="s">
        <v>64</v>
      </c>
      <c r="AO69" s="16" t="s">
        <v>64</v>
      </c>
      <c r="AP69" s="16">
        <v>0</v>
      </c>
      <c r="AQ69" s="127">
        <v>0</v>
      </c>
      <c r="AR69" s="16">
        <v>0</v>
      </c>
      <c r="AS69" s="16">
        <v>0</v>
      </c>
    </row>
    <row r="70" spans="1:48">
      <c r="A70" t="s">
        <v>761</v>
      </c>
      <c r="B70" t="s">
        <v>144</v>
      </c>
      <c r="C70" t="s">
        <v>49</v>
      </c>
      <c r="D70" s="22" t="s">
        <v>943</v>
      </c>
      <c r="E70" s="22" t="s">
        <v>777</v>
      </c>
      <c r="F70" s="22" t="s">
        <v>779</v>
      </c>
      <c r="G70" s="22" t="s">
        <v>778</v>
      </c>
      <c r="H70">
        <v>25</v>
      </c>
      <c r="J70" s="15">
        <v>42593</v>
      </c>
      <c r="K70">
        <v>-3.3302586000000001</v>
      </c>
      <c r="L70">
        <v>29.487609899999999</v>
      </c>
      <c r="M70">
        <v>1411</v>
      </c>
      <c r="N70" t="s">
        <v>64</v>
      </c>
      <c r="O70" t="s">
        <v>960</v>
      </c>
      <c r="P70" s="131">
        <f>23*12</f>
        <v>276</v>
      </c>
      <c r="Q70">
        <v>4</v>
      </c>
      <c r="R70" t="s">
        <v>781</v>
      </c>
      <c r="S70" s="18">
        <v>0</v>
      </c>
      <c r="T70" s="18">
        <v>1</v>
      </c>
      <c r="U70" s="16">
        <v>1</v>
      </c>
      <c r="V70" s="16">
        <f>AVERAGE(7,7,8,6,8)</f>
        <v>7.2</v>
      </c>
      <c r="W70" s="16">
        <v>0</v>
      </c>
      <c r="X70" s="16" t="s">
        <v>64</v>
      </c>
      <c r="Y70" s="16">
        <v>2</v>
      </c>
      <c r="Z70" s="16" t="s">
        <v>61</v>
      </c>
      <c r="AA70" s="16" t="s">
        <v>61</v>
      </c>
      <c r="AB70" s="16" t="s">
        <v>61</v>
      </c>
      <c r="AC70" s="20">
        <v>0</v>
      </c>
      <c r="AD70" s="20" t="s">
        <v>64</v>
      </c>
      <c r="AE70" s="16" t="s">
        <v>64</v>
      </c>
      <c r="AF70" s="20" t="s">
        <v>64</v>
      </c>
      <c r="AG70" s="20" t="s">
        <v>64</v>
      </c>
      <c r="AH70" t="s">
        <v>61</v>
      </c>
      <c r="AI70" s="16">
        <v>1</v>
      </c>
      <c r="AJ70" s="16">
        <v>20</v>
      </c>
      <c r="AK70" s="16">
        <v>2</v>
      </c>
      <c r="AL70" s="137">
        <f>2/33*100</f>
        <v>6.0606060606060606</v>
      </c>
      <c r="AM70" s="137">
        <f>0.25/2.26*100</f>
        <v>11.061946902654867</v>
      </c>
      <c r="AN70" s="16">
        <v>0</v>
      </c>
      <c r="AO70" s="16">
        <v>0</v>
      </c>
      <c r="AP70" s="16">
        <v>1</v>
      </c>
      <c r="AQ70" s="16">
        <v>1</v>
      </c>
      <c r="AR70" s="16">
        <v>0</v>
      </c>
      <c r="AS70" s="16">
        <v>0</v>
      </c>
    </row>
    <row r="71" spans="1:48">
      <c r="A71" t="s">
        <v>761</v>
      </c>
      <c r="B71" t="s">
        <v>144</v>
      </c>
      <c r="C71" t="s">
        <v>49</v>
      </c>
      <c r="D71" s="22" t="s">
        <v>943</v>
      </c>
      <c r="E71" s="22" t="s">
        <v>777</v>
      </c>
      <c r="F71" s="22" t="s">
        <v>779</v>
      </c>
      <c r="G71" s="22" t="s">
        <v>961</v>
      </c>
      <c r="H71">
        <v>26</v>
      </c>
      <c r="J71" s="15">
        <v>42593</v>
      </c>
      <c r="K71">
        <v>-3.3163052</v>
      </c>
      <c r="L71">
        <v>29.5109444</v>
      </c>
      <c r="M71">
        <v>1620</v>
      </c>
      <c r="N71" t="s">
        <v>64</v>
      </c>
      <c r="O71" t="s">
        <v>962</v>
      </c>
      <c r="P71" s="131">
        <f>20*10</f>
        <v>200</v>
      </c>
      <c r="Q71">
        <v>4</v>
      </c>
      <c r="R71" t="s">
        <v>781</v>
      </c>
      <c r="S71" s="18">
        <v>0</v>
      </c>
      <c r="T71" s="18">
        <v>1</v>
      </c>
      <c r="U71" s="16">
        <v>1</v>
      </c>
      <c r="V71" s="16">
        <f>AVERAGE(7,7,6,6,8)</f>
        <v>6.8</v>
      </c>
      <c r="W71" s="16">
        <v>0</v>
      </c>
      <c r="X71" s="16" t="s">
        <v>64</v>
      </c>
      <c r="Y71" s="16">
        <v>2</v>
      </c>
      <c r="Z71" s="16" t="s">
        <v>782</v>
      </c>
      <c r="AA71" s="16" t="s">
        <v>61</v>
      </c>
      <c r="AB71" s="16" t="s">
        <v>61</v>
      </c>
      <c r="AC71" s="20">
        <v>1</v>
      </c>
      <c r="AD71" s="136">
        <f>AVERAGE(1,1,23,0,0,0,0,0,0,0,0,0,0,0,0,0,0,0,0)</f>
        <v>1.3157894736842106</v>
      </c>
      <c r="AE71" s="20">
        <f>3/20*100</f>
        <v>15</v>
      </c>
      <c r="AF71" s="20">
        <v>5</v>
      </c>
      <c r="AG71" s="20" t="s">
        <v>61</v>
      </c>
      <c r="AH71" t="s">
        <v>61</v>
      </c>
      <c r="AI71" s="16">
        <v>1</v>
      </c>
      <c r="AJ71" s="16" t="s">
        <v>64</v>
      </c>
      <c r="AK71" s="16">
        <v>1</v>
      </c>
      <c r="AL71" s="137">
        <f>1/13*100</f>
        <v>7.6923076923076925</v>
      </c>
      <c r="AM71" s="137">
        <f>0.04/0.81*100</f>
        <v>4.9382716049382713</v>
      </c>
      <c r="AN71" s="16">
        <v>0</v>
      </c>
      <c r="AO71" s="16">
        <v>0</v>
      </c>
      <c r="AP71" s="16">
        <v>0</v>
      </c>
      <c r="AQ71" s="127">
        <v>0</v>
      </c>
      <c r="AR71" s="16">
        <v>0</v>
      </c>
      <c r="AS71" s="16">
        <v>0</v>
      </c>
    </row>
    <row r="72" spans="1:48">
      <c r="A72" t="s">
        <v>761</v>
      </c>
      <c r="B72" t="s">
        <v>144</v>
      </c>
      <c r="C72" t="s">
        <v>49</v>
      </c>
      <c r="D72" s="22" t="s">
        <v>943</v>
      </c>
      <c r="E72" s="22" t="s">
        <v>777</v>
      </c>
      <c r="F72" s="22" t="s">
        <v>777</v>
      </c>
      <c r="G72" s="22" t="s">
        <v>790</v>
      </c>
      <c r="H72">
        <v>27</v>
      </c>
      <c r="J72" s="15">
        <v>42593</v>
      </c>
      <c r="K72">
        <v>-3.2901500000000001</v>
      </c>
      <c r="L72">
        <v>29.5092602</v>
      </c>
      <c r="M72">
        <v>1726</v>
      </c>
      <c r="N72" t="s">
        <v>64</v>
      </c>
      <c r="O72" t="s">
        <v>963</v>
      </c>
      <c r="P72" s="131">
        <f>60*35</f>
        <v>2100</v>
      </c>
      <c r="Q72">
        <v>4</v>
      </c>
      <c r="R72" t="s">
        <v>781</v>
      </c>
      <c r="S72" s="18">
        <v>1</v>
      </c>
      <c r="T72" s="18">
        <f>AVERAGE(6,5,5,4,4)</f>
        <v>4.8</v>
      </c>
      <c r="U72" s="16">
        <v>1</v>
      </c>
      <c r="V72" s="16">
        <f>AVERAGE(6,7,7,7,6)</f>
        <v>6.6</v>
      </c>
      <c r="W72" s="16">
        <v>0</v>
      </c>
      <c r="X72" s="16" t="s">
        <v>64</v>
      </c>
      <c r="Y72" s="16">
        <v>0</v>
      </c>
      <c r="Z72" s="16" t="s">
        <v>61</v>
      </c>
      <c r="AA72" s="16" t="s">
        <v>61</v>
      </c>
      <c r="AB72" s="16" t="s">
        <v>61</v>
      </c>
      <c r="AC72" s="20">
        <v>1</v>
      </c>
      <c r="AD72" s="136">
        <f>AVERAGE(1,1,1,0,0,0,0,0,0,0,0,0,0,0,0,0,0,0,0)</f>
        <v>0.15789473684210525</v>
      </c>
      <c r="AE72" s="20">
        <f>3/20*100</f>
        <v>15</v>
      </c>
      <c r="AF72" s="20">
        <v>5</v>
      </c>
      <c r="AG72" s="20" t="s">
        <v>61</v>
      </c>
      <c r="AH72" t="s">
        <v>61</v>
      </c>
      <c r="AI72" s="16">
        <v>0</v>
      </c>
      <c r="AJ72" s="16" t="s">
        <v>64</v>
      </c>
      <c r="AK72" s="16" t="s">
        <v>64</v>
      </c>
      <c r="AL72" s="16" t="s">
        <v>64</v>
      </c>
      <c r="AM72" s="16" t="s">
        <v>64</v>
      </c>
      <c r="AN72" s="16" t="s">
        <v>64</v>
      </c>
      <c r="AO72" s="16" t="s">
        <v>64</v>
      </c>
      <c r="AP72" s="16">
        <v>0</v>
      </c>
      <c r="AQ72" s="127">
        <v>0</v>
      </c>
      <c r="AR72" s="16">
        <v>0</v>
      </c>
      <c r="AS72" s="16">
        <v>0</v>
      </c>
    </row>
    <row r="73" spans="1:48">
      <c r="A73" t="s">
        <v>761</v>
      </c>
      <c r="B73" t="s">
        <v>144</v>
      </c>
      <c r="C73" t="s">
        <v>49</v>
      </c>
      <c r="D73" s="22" t="s">
        <v>943</v>
      </c>
      <c r="E73" s="22" t="s">
        <v>777</v>
      </c>
      <c r="F73" s="22" t="s">
        <v>777</v>
      </c>
      <c r="G73" s="22" t="s">
        <v>777</v>
      </c>
      <c r="H73">
        <v>28</v>
      </c>
      <c r="J73" s="15">
        <v>42593</v>
      </c>
      <c r="K73">
        <v>-3.285202</v>
      </c>
      <c r="L73">
        <v>29.496215800000002</v>
      </c>
      <c r="M73">
        <v>1742</v>
      </c>
      <c r="N73" t="s">
        <v>64</v>
      </c>
      <c r="O73" t="s">
        <v>964</v>
      </c>
      <c r="P73" s="131">
        <f>16*40</f>
        <v>640</v>
      </c>
      <c r="Q73">
        <v>3</v>
      </c>
      <c r="R73" t="s">
        <v>781</v>
      </c>
      <c r="S73" s="18">
        <v>0</v>
      </c>
      <c r="T73" s="18">
        <v>1</v>
      </c>
      <c r="U73" s="16">
        <v>1</v>
      </c>
      <c r="V73" s="16">
        <f>AVERAGE(3,2,3,3,3)</f>
        <v>2.8</v>
      </c>
      <c r="W73" s="16">
        <v>0</v>
      </c>
      <c r="X73" s="16" t="s">
        <v>64</v>
      </c>
      <c r="Y73" s="16">
        <v>3</v>
      </c>
      <c r="Z73" s="16" t="s">
        <v>61</v>
      </c>
      <c r="AA73" s="16" t="s">
        <v>61</v>
      </c>
      <c r="AB73" s="16" t="s">
        <v>61</v>
      </c>
      <c r="AC73" s="20">
        <v>1</v>
      </c>
      <c r="AD73" s="136">
        <f>AVERAGE(100,50,32,35,24,22,2,65,0,0)</f>
        <v>33</v>
      </c>
      <c r="AE73" s="20">
        <f>8/20*100</f>
        <v>40</v>
      </c>
      <c r="AF73" s="20">
        <v>5</v>
      </c>
      <c r="AG73" s="20" t="s">
        <v>61</v>
      </c>
      <c r="AH73" t="s">
        <v>61</v>
      </c>
      <c r="AI73" s="16">
        <v>1</v>
      </c>
      <c r="AJ73" s="16" t="s">
        <v>64</v>
      </c>
      <c r="AK73" s="16" t="s">
        <v>64</v>
      </c>
      <c r="AL73" s="16" t="s">
        <v>64</v>
      </c>
      <c r="AM73" s="16" t="s">
        <v>64</v>
      </c>
      <c r="AN73" s="16">
        <v>6</v>
      </c>
      <c r="AO73" s="16">
        <v>0</v>
      </c>
      <c r="AP73" s="16">
        <v>0</v>
      </c>
      <c r="AQ73" s="127">
        <v>0</v>
      </c>
      <c r="AR73" s="16">
        <f>1/20*100</f>
        <v>5</v>
      </c>
      <c r="AS73" s="137">
        <f>AVERAGE(1,0,0,0,0,0,0,0,0,0,0,0,0,0,0,0,0,0,0)</f>
        <v>5.2631578947368418E-2</v>
      </c>
    </row>
    <row r="74" spans="1:48">
      <c r="A74" t="s">
        <v>761</v>
      </c>
      <c r="B74" t="s">
        <v>144</v>
      </c>
      <c r="C74" t="s">
        <v>49</v>
      </c>
      <c r="D74" s="22" t="s">
        <v>943</v>
      </c>
      <c r="E74" s="22" t="s">
        <v>777</v>
      </c>
      <c r="F74" s="22" t="s">
        <v>777</v>
      </c>
      <c r="G74" s="22" t="s">
        <v>777</v>
      </c>
      <c r="H74">
        <v>29</v>
      </c>
      <c r="J74" s="15">
        <v>42593</v>
      </c>
      <c r="K74">
        <v>-3.2809447999999999</v>
      </c>
      <c r="L74">
        <v>29.497558600000001</v>
      </c>
      <c r="M74">
        <v>1686</v>
      </c>
      <c r="N74" t="s">
        <v>64</v>
      </c>
      <c r="O74" t="s">
        <v>965</v>
      </c>
      <c r="P74" s="131">
        <f>50*12</f>
        <v>600</v>
      </c>
      <c r="Q74">
        <v>3</v>
      </c>
      <c r="R74" t="s">
        <v>781</v>
      </c>
      <c r="S74" s="18">
        <v>0</v>
      </c>
      <c r="T74" s="18">
        <v>1</v>
      </c>
      <c r="U74" s="16">
        <v>1</v>
      </c>
      <c r="V74" s="16">
        <f>AVERAGE(2,2,4,6,6)</f>
        <v>4</v>
      </c>
      <c r="W74" s="16">
        <v>0</v>
      </c>
      <c r="X74" s="16" t="s">
        <v>64</v>
      </c>
      <c r="Y74" s="16">
        <v>0</v>
      </c>
      <c r="Z74" s="16" t="s">
        <v>61</v>
      </c>
      <c r="AA74" s="16" t="s">
        <v>61</v>
      </c>
      <c r="AB74" s="16" t="s">
        <v>61</v>
      </c>
      <c r="AC74" s="20">
        <v>1</v>
      </c>
      <c r="AD74" s="136">
        <f>AVERAGE(1,35,1,3,0,0,0,0,0,0,0,0,0,0,0,0,0,0,0)</f>
        <v>2.1052631578947367</v>
      </c>
      <c r="AE74" s="20">
        <f>4/20*100</f>
        <v>20</v>
      </c>
      <c r="AF74" s="20">
        <v>2</v>
      </c>
      <c r="AG74" s="20" t="s">
        <v>61</v>
      </c>
      <c r="AH74" t="s">
        <v>61</v>
      </c>
      <c r="AI74" s="16">
        <v>0</v>
      </c>
      <c r="AJ74" s="16" t="s">
        <v>64</v>
      </c>
      <c r="AK74" s="16" t="s">
        <v>64</v>
      </c>
      <c r="AL74" s="16" t="s">
        <v>64</v>
      </c>
      <c r="AM74" s="16" t="s">
        <v>64</v>
      </c>
      <c r="AN74" s="16" t="s">
        <v>64</v>
      </c>
      <c r="AO74" s="16" t="s">
        <v>64</v>
      </c>
      <c r="AP74" s="16">
        <v>0</v>
      </c>
      <c r="AQ74" s="127">
        <v>0</v>
      </c>
      <c r="AR74" s="16">
        <v>0</v>
      </c>
      <c r="AS74" s="16">
        <v>0</v>
      </c>
    </row>
    <row r="75" spans="1:48">
      <c r="A75" t="s">
        <v>761</v>
      </c>
      <c r="B75" t="s">
        <v>144</v>
      </c>
      <c r="C75" t="s">
        <v>49</v>
      </c>
      <c r="D75" s="22" t="s">
        <v>78</v>
      </c>
      <c r="E75" s="22" t="s">
        <v>78</v>
      </c>
      <c r="F75" s="22" t="s">
        <v>169</v>
      </c>
      <c r="G75" s="22" t="s">
        <v>893</v>
      </c>
      <c r="H75">
        <v>30</v>
      </c>
      <c r="J75" s="15">
        <v>42593</v>
      </c>
      <c r="K75">
        <v>-3.3117076999999999</v>
      </c>
      <c r="L75">
        <v>29.531230000000001</v>
      </c>
      <c r="M75">
        <v>1930</v>
      </c>
      <c r="N75" t="s">
        <v>64</v>
      </c>
      <c r="O75" t="s">
        <v>966</v>
      </c>
      <c r="P75" s="131" t="s">
        <v>64</v>
      </c>
      <c r="Q75">
        <v>10</v>
      </c>
      <c r="R75" t="s">
        <v>781</v>
      </c>
      <c r="S75" s="18">
        <v>1</v>
      </c>
      <c r="T75" s="18">
        <f>AVERAGE(3,3,3,2,1)</f>
        <v>2.4</v>
      </c>
      <c r="U75" s="16">
        <v>1</v>
      </c>
      <c r="V75" s="16">
        <f>AVERAGE(4,3,2,3,2)</f>
        <v>2.8</v>
      </c>
      <c r="W75" s="16">
        <v>0</v>
      </c>
      <c r="X75" s="16" t="s">
        <v>64</v>
      </c>
      <c r="Y75" s="16">
        <v>1</v>
      </c>
      <c r="Z75" s="16" t="s">
        <v>782</v>
      </c>
      <c r="AA75" s="16" t="s">
        <v>61</v>
      </c>
      <c r="AB75" s="16" t="s">
        <v>61</v>
      </c>
      <c r="AC75" s="20">
        <v>1</v>
      </c>
      <c r="AD75" s="136">
        <f>AVERAGE(1,1,0,0,0,0,0,0,0,0,0,0,0,0,0,0,0,0,0)</f>
        <v>0.10526315789473684</v>
      </c>
      <c r="AE75" s="20">
        <f>2/20*100</f>
        <v>10</v>
      </c>
      <c r="AF75" s="20">
        <v>1</v>
      </c>
      <c r="AG75" s="20" t="s">
        <v>61</v>
      </c>
      <c r="AH75" t="s">
        <v>61</v>
      </c>
      <c r="AI75" s="16">
        <v>1</v>
      </c>
      <c r="AJ75" s="16" t="s">
        <v>64</v>
      </c>
      <c r="AK75" s="16">
        <v>1</v>
      </c>
      <c r="AL75" s="137">
        <f>6/34*100</f>
        <v>17.647058823529413</v>
      </c>
      <c r="AM75" s="137">
        <f>0.27/1.49*100</f>
        <v>18.120805369127517</v>
      </c>
      <c r="AN75" s="16">
        <v>0</v>
      </c>
      <c r="AO75" s="16">
        <v>0</v>
      </c>
      <c r="AP75" s="16">
        <v>0</v>
      </c>
      <c r="AQ75" s="127">
        <v>0</v>
      </c>
      <c r="AR75" s="16">
        <v>0</v>
      </c>
      <c r="AS75" s="16">
        <v>0</v>
      </c>
    </row>
    <row r="76" spans="1:48">
      <c r="A76" t="s">
        <v>761</v>
      </c>
      <c r="B76" t="s">
        <v>144</v>
      </c>
      <c r="C76" t="s">
        <v>49</v>
      </c>
      <c r="D76" s="22" t="s">
        <v>78</v>
      </c>
      <c r="E76" s="22" t="s">
        <v>944</v>
      </c>
      <c r="F76" s="22" t="s">
        <v>815</v>
      </c>
      <c r="G76" s="22" t="s">
        <v>967</v>
      </c>
      <c r="H76">
        <v>31</v>
      </c>
      <c r="J76" s="15">
        <v>42594</v>
      </c>
      <c r="K76">
        <v>-3.4339547000000001</v>
      </c>
      <c r="L76">
        <v>29.437828100000001</v>
      </c>
      <c r="M76">
        <v>1499</v>
      </c>
      <c r="N76" t="s">
        <v>64</v>
      </c>
      <c r="O76" t="s">
        <v>968</v>
      </c>
      <c r="P76" s="131">
        <f>14*10</f>
        <v>140</v>
      </c>
      <c r="Q76">
        <v>2</v>
      </c>
      <c r="R76" t="s">
        <v>781</v>
      </c>
      <c r="S76" s="18">
        <v>0</v>
      </c>
      <c r="T76" s="18">
        <v>1</v>
      </c>
      <c r="U76" s="16">
        <v>1</v>
      </c>
      <c r="V76" s="16">
        <f>AVERAGE(6,4,6,6,6)</f>
        <v>5.6</v>
      </c>
      <c r="W76" s="16">
        <v>0</v>
      </c>
      <c r="X76" s="16" t="s">
        <v>64</v>
      </c>
      <c r="Y76" s="16">
        <v>0</v>
      </c>
      <c r="Z76" s="16" t="s">
        <v>782</v>
      </c>
      <c r="AA76" s="16" t="s">
        <v>61</v>
      </c>
      <c r="AB76" s="16" t="s">
        <v>61</v>
      </c>
      <c r="AC76" s="20">
        <v>0</v>
      </c>
      <c r="AD76" s="20" t="s">
        <v>64</v>
      </c>
      <c r="AE76" s="16" t="s">
        <v>64</v>
      </c>
      <c r="AF76" s="20" t="s">
        <v>64</v>
      </c>
      <c r="AG76" s="20" t="s">
        <v>64</v>
      </c>
      <c r="AH76" t="s">
        <v>61</v>
      </c>
      <c r="AI76" s="16">
        <v>1</v>
      </c>
      <c r="AJ76" s="16" t="s">
        <v>64</v>
      </c>
      <c r="AK76" s="16">
        <v>1</v>
      </c>
      <c r="AL76" s="137">
        <f>9/27*100</f>
        <v>33.333333333333329</v>
      </c>
      <c r="AM76" s="137">
        <f>0.57/2.11*100</f>
        <v>27.014218009478675</v>
      </c>
      <c r="AN76" s="62">
        <v>0</v>
      </c>
      <c r="AO76" s="62">
        <v>1</v>
      </c>
      <c r="AP76" s="16">
        <v>1</v>
      </c>
      <c r="AQ76" s="16">
        <v>0</v>
      </c>
      <c r="AR76" s="16">
        <v>0</v>
      </c>
      <c r="AS76" s="16">
        <v>0</v>
      </c>
    </row>
    <row r="77" spans="1:48">
      <c r="A77" t="s">
        <v>761</v>
      </c>
      <c r="B77" t="s">
        <v>144</v>
      </c>
      <c r="C77" t="s">
        <v>49</v>
      </c>
      <c r="D77" s="22" t="s">
        <v>78</v>
      </c>
      <c r="E77" s="22" t="s">
        <v>51</v>
      </c>
      <c r="F77" s="22" t="s">
        <v>51</v>
      </c>
      <c r="G77" s="22" t="s">
        <v>51</v>
      </c>
      <c r="H77">
        <v>32</v>
      </c>
      <c r="J77" s="15">
        <v>42594</v>
      </c>
      <c r="K77">
        <v>-3.4518325000000001</v>
      </c>
      <c r="L77">
        <v>29.458324399999999</v>
      </c>
      <c r="M77">
        <v>1635</v>
      </c>
      <c r="N77" t="s">
        <v>64</v>
      </c>
      <c r="O77" t="s">
        <v>969</v>
      </c>
      <c r="P77" s="131">
        <f>18*9</f>
        <v>162</v>
      </c>
      <c r="Q77">
        <v>5</v>
      </c>
      <c r="R77" t="s">
        <v>781</v>
      </c>
      <c r="S77" s="18">
        <v>1</v>
      </c>
      <c r="T77" s="18">
        <f>AVERAGE(3,5,3,4,2)</f>
        <v>3.4</v>
      </c>
      <c r="U77" s="16">
        <v>1</v>
      </c>
      <c r="V77" s="16">
        <f>AVERAGE(7,7,6,7,7)</f>
        <v>6.8</v>
      </c>
      <c r="W77" s="16">
        <v>0</v>
      </c>
      <c r="X77" s="16" t="s">
        <v>64</v>
      </c>
      <c r="Y77" s="16">
        <v>1</v>
      </c>
      <c r="Z77" s="16" t="s">
        <v>61</v>
      </c>
      <c r="AA77" s="16" t="s">
        <v>61</v>
      </c>
      <c r="AB77" s="16" t="s">
        <v>61</v>
      </c>
      <c r="AC77" s="20">
        <v>0</v>
      </c>
      <c r="AD77" s="20" t="s">
        <v>64</v>
      </c>
      <c r="AE77" s="16" t="s">
        <v>64</v>
      </c>
      <c r="AF77" s="20" t="s">
        <v>64</v>
      </c>
      <c r="AG77" s="20" t="s">
        <v>64</v>
      </c>
      <c r="AH77" t="s">
        <v>61</v>
      </c>
      <c r="AI77" s="16">
        <v>1</v>
      </c>
      <c r="AJ77" s="16" t="s">
        <v>64</v>
      </c>
      <c r="AK77" s="16">
        <v>1</v>
      </c>
      <c r="AL77" s="137">
        <v>0</v>
      </c>
      <c r="AM77" s="137">
        <v>0</v>
      </c>
      <c r="AN77" s="62">
        <v>1</v>
      </c>
      <c r="AO77" s="16">
        <v>0</v>
      </c>
      <c r="AP77" s="16">
        <v>0</v>
      </c>
      <c r="AQ77" s="127">
        <v>0</v>
      </c>
      <c r="AR77" s="16">
        <f>3/20*100</f>
        <v>15</v>
      </c>
      <c r="AS77" s="137">
        <f>AVERAGE(1,1,1,0,0,0,0,0,0,0,0,0,0,0,0,0,0,0,0)</f>
        <v>0.15789473684210525</v>
      </c>
    </row>
    <row r="78" spans="1:48">
      <c r="A78" t="s">
        <v>761</v>
      </c>
      <c r="B78" t="s">
        <v>144</v>
      </c>
      <c r="C78" t="s">
        <v>49</v>
      </c>
      <c r="D78" s="22" t="s">
        <v>78</v>
      </c>
      <c r="E78" s="22" t="s">
        <v>51</v>
      </c>
      <c r="F78" s="22" t="s">
        <v>52</v>
      </c>
      <c r="G78" s="22" t="s">
        <v>53</v>
      </c>
      <c r="H78">
        <v>33</v>
      </c>
      <c r="J78" s="15">
        <v>42594</v>
      </c>
      <c r="K78">
        <v>-3.4778460999999998</v>
      </c>
      <c r="L78">
        <v>29.4771061</v>
      </c>
      <c r="M78">
        <v>1837</v>
      </c>
      <c r="N78" t="s">
        <v>64</v>
      </c>
      <c r="O78" t="s">
        <v>64</v>
      </c>
      <c r="P78" s="131">
        <f>16*5</f>
        <v>80</v>
      </c>
      <c r="Q78" t="s">
        <v>64</v>
      </c>
      <c r="R78" t="s">
        <v>781</v>
      </c>
      <c r="S78" s="18">
        <v>1</v>
      </c>
      <c r="T78" s="18">
        <f>AVERAGE(2,2,2,3,1)</f>
        <v>2</v>
      </c>
      <c r="U78" s="16">
        <v>1</v>
      </c>
      <c r="V78" s="16">
        <f>AVERAGE(6,2,5,7,6)</f>
        <v>5.2</v>
      </c>
      <c r="W78" s="16">
        <v>0</v>
      </c>
      <c r="X78" s="16" t="s">
        <v>64</v>
      </c>
      <c r="Y78" s="16">
        <v>1</v>
      </c>
      <c r="Z78" s="16" t="s">
        <v>61</v>
      </c>
      <c r="AA78" s="16" t="s">
        <v>61</v>
      </c>
      <c r="AB78" s="16" t="s">
        <v>61</v>
      </c>
      <c r="AC78" s="20">
        <v>0</v>
      </c>
      <c r="AD78" s="20" t="s">
        <v>64</v>
      </c>
      <c r="AE78" s="16" t="s">
        <v>64</v>
      </c>
      <c r="AF78" s="20" t="s">
        <v>64</v>
      </c>
      <c r="AG78" s="20" t="s">
        <v>64</v>
      </c>
      <c r="AH78" t="s">
        <v>61</v>
      </c>
      <c r="AI78" s="16">
        <v>0</v>
      </c>
      <c r="AJ78" s="16" t="s">
        <v>64</v>
      </c>
      <c r="AK78" s="16" t="s">
        <v>64</v>
      </c>
      <c r="AL78" s="16" t="s">
        <v>64</v>
      </c>
      <c r="AM78" s="16" t="s">
        <v>64</v>
      </c>
      <c r="AN78" s="16" t="s">
        <v>64</v>
      </c>
      <c r="AO78" s="16" t="s">
        <v>64</v>
      </c>
      <c r="AP78" s="16">
        <v>0</v>
      </c>
      <c r="AQ78" s="127">
        <v>0</v>
      </c>
      <c r="AR78" s="16">
        <v>0</v>
      </c>
      <c r="AS78" s="16">
        <v>0</v>
      </c>
    </row>
    <row r="79" spans="1:48">
      <c r="A79" t="s">
        <v>761</v>
      </c>
      <c r="B79" t="s">
        <v>144</v>
      </c>
      <c r="C79" t="s">
        <v>49</v>
      </c>
      <c r="D79" s="22" t="s">
        <v>943</v>
      </c>
      <c r="E79" s="22" t="s">
        <v>51</v>
      </c>
      <c r="F79" s="22" t="s">
        <v>52</v>
      </c>
      <c r="G79" s="22" t="s">
        <v>66</v>
      </c>
      <c r="H79">
        <v>34</v>
      </c>
      <c r="J79" s="15">
        <v>42594</v>
      </c>
      <c r="K79">
        <v>-3.4907629</v>
      </c>
      <c r="L79">
        <v>29.497838999999999</v>
      </c>
      <c r="M79">
        <v>1934</v>
      </c>
      <c r="N79" t="s">
        <v>64</v>
      </c>
      <c r="O79" t="s">
        <v>970</v>
      </c>
      <c r="P79" s="131">
        <f>15*14</f>
        <v>210</v>
      </c>
      <c r="Q79">
        <v>5</v>
      </c>
      <c r="R79" t="s">
        <v>971</v>
      </c>
      <c r="S79" s="18">
        <v>1</v>
      </c>
      <c r="T79" s="18">
        <f>AVERAGE(3,4,4,4,3)</f>
        <v>3.6</v>
      </c>
      <c r="U79" s="16">
        <v>1</v>
      </c>
      <c r="V79" s="16">
        <f>AVERAGE(6,7,6,6,7)</f>
        <v>6.4</v>
      </c>
      <c r="W79" s="16">
        <v>0</v>
      </c>
      <c r="X79" s="16" t="s">
        <v>64</v>
      </c>
      <c r="Y79" s="16">
        <v>0</v>
      </c>
      <c r="Z79" s="16" t="s">
        <v>782</v>
      </c>
      <c r="AA79" s="16" t="s">
        <v>61</v>
      </c>
      <c r="AB79" s="16" t="s">
        <v>61</v>
      </c>
      <c r="AC79" s="20">
        <v>0</v>
      </c>
      <c r="AD79" s="20" t="s">
        <v>64</v>
      </c>
      <c r="AE79" s="16" t="s">
        <v>64</v>
      </c>
      <c r="AF79" s="20" t="s">
        <v>64</v>
      </c>
      <c r="AG79" s="20" t="s">
        <v>64</v>
      </c>
      <c r="AH79" t="s">
        <v>61</v>
      </c>
      <c r="AI79" s="16">
        <v>0</v>
      </c>
      <c r="AJ79" s="16" t="s">
        <v>64</v>
      </c>
      <c r="AK79" s="16" t="s">
        <v>64</v>
      </c>
      <c r="AL79" s="16" t="s">
        <v>64</v>
      </c>
      <c r="AM79" s="16" t="s">
        <v>64</v>
      </c>
      <c r="AN79" s="16" t="s">
        <v>64</v>
      </c>
      <c r="AO79" s="16" t="s">
        <v>64</v>
      </c>
      <c r="AP79" s="16">
        <v>0</v>
      </c>
      <c r="AQ79" s="127">
        <v>0</v>
      </c>
      <c r="AR79" s="16">
        <f>11/20*100</f>
        <v>55.000000000000007</v>
      </c>
      <c r="AS79" s="137">
        <f>AVERAGE(1,5,3,3,2,1,1,15,2,1,2,0,0,0,0,0,0,0,0)</f>
        <v>1.8947368421052631</v>
      </c>
    </row>
    <row r="80" spans="1:48">
      <c r="A80" t="s">
        <v>761</v>
      </c>
      <c r="B80" t="s">
        <v>144</v>
      </c>
      <c r="C80" t="s">
        <v>49</v>
      </c>
      <c r="D80" s="22" t="s">
        <v>943</v>
      </c>
      <c r="E80" s="22" t="s">
        <v>70</v>
      </c>
      <c r="F80" s="22" t="s">
        <v>74</v>
      </c>
      <c r="G80" s="22" t="s">
        <v>126</v>
      </c>
      <c r="H80">
        <v>35</v>
      </c>
      <c r="J80" s="15">
        <v>42594</v>
      </c>
      <c r="K80">
        <v>-3.4753942000000002</v>
      </c>
      <c r="L80">
        <v>29.543262500000001</v>
      </c>
      <c r="M80">
        <v>2286</v>
      </c>
      <c r="N80" t="s">
        <v>64</v>
      </c>
      <c r="O80" t="s">
        <v>64</v>
      </c>
      <c r="P80" s="131">
        <f>16*34</f>
        <v>544</v>
      </c>
      <c r="Q80">
        <v>6</v>
      </c>
      <c r="R80" t="s">
        <v>972</v>
      </c>
      <c r="S80" s="18">
        <v>1</v>
      </c>
      <c r="T80" s="18">
        <f>AVERAGE(2,2,2,2,2)</f>
        <v>2</v>
      </c>
      <c r="U80" s="16">
        <v>1</v>
      </c>
      <c r="V80" s="16">
        <f>AVERAGE(2,2,2,2,2)</f>
        <v>2</v>
      </c>
      <c r="W80" s="16">
        <v>0</v>
      </c>
      <c r="X80" s="16" t="s">
        <v>64</v>
      </c>
      <c r="Y80" s="16">
        <v>1</v>
      </c>
      <c r="Z80" s="16" t="s">
        <v>61</v>
      </c>
      <c r="AA80" s="16" t="s">
        <v>61</v>
      </c>
      <c r="AB80" s="16" t="s">
        <v>61</v>
      </c>
      <c r="AC80" s="20">
        <v>0</v>
      </c>
      <c r="AD80" s="20" t="s">
        <v>64</v>
      </c>
      <c r="AE80" s="16" t="s">
        <v>64</v>
      </c>
      <c r="AF80" s="20" t="s">
        <v>64</v>
      </c>
      <c r="AG80" s="20" t="s">
        <v>64</v>
      </c>
      <c r="AH80" t="s">
        <v>61</v>
      </c>
      <c r="AI80" s="16">
        <v>0</v>
      </c>
      <c r="AJ80" s="16" t="s">
        <v>64</v>
      </c>
      <c r="AK80" s="16" t="s">
        <v>64</v>
      </c>
      <c r="AL80" s="16" t="s">
        <v>64</v>
      </c>
      <c r="AM80" s="16" t="s">
        <v>64</v>
      </c>
      <c r="AN80" s="16" t="s">
        <v>64</v>
      </c>
      <c r="AO80" s="16" t="s">
        <v>64</v>
      </c>
      <c r="AP80" s="16">
        <v>0</v>
      </c>
      <c r="AQ80" s="127">
        <v>0</v>
      </c>
      <c r="AR80" s="16">
        <f>10/20*100</f>
        <v>50</v>
      </c>
      <c r="AS80" s="137">
        <f>AVERAGE(1,2,2,6,1,2,2,1,1,1,0,0,0,0,0,0,0,0,0)</f>
        <v>1</v>
      </c>
      <c r="AU80" s="16"/>
      <c r="AV80" s="16"/>
    </row>
    <row r="81" spans="1:45">
      <c r="A81" t="s">
        <v>761</v>
      </c>
      <c r="B81" t="s">
        <v>144</v>
      </c>
      <c r="C81" t="s">
        <v>49</v>
      </c>
      <c r="D81" s="22" t="s">
        <v>943</v>
      </c>
      <c r="E81" s="22" t="s">
        <v>70</v>
      </c>
      <c r="F81" s="22" t="s">
        <v>74</v>
      </c>
      <c r="G81" s="22" t="s">
        <v>71</v>
      </c>
      <c r="H81">
        <v>36</v>
      </c>
      <c r="J81" s="15">
        <v>42594</v>
      </c>
      <c r="K81">
        <v>-3.4695566000000002</v>
      </c>
      <c r="L81">
        <v>29.530843699999998</v>
      </c>
      <c r="M81">
        <v>2263</v>
      </c>
      <c r="N81" t="s">
        <v>64</v>
      </c>
      <c r="O81" t="s">
        <v>973</v>
      </c>
      <c r="P81" s="131">
        <f>28*10</f>
        <v>280</v>
      </c>
      <c r="Q81">
        <v>5</v>
      </c>
      <c r="R81" t="s">
        <v>972</v>
      </c>
      <c r="S81" s="18">
        <v>1</v>
      </c>
      <c r="T81" s="18">
        <f>AVERAGE(2,2,2,2,2)</f>
        <v>2</v>
      </c>
      <c r="U81" s="16">
        <v>1</v>
      </c>
      <c r="V81" s="16">
        <f>AVERAGE(7,7,7,7,7)</f>
        <v>7</v>
      </c>
      <c r="W81" s="16">
        <v>0</v>
      </c>
      <c r="X81" s="16" t="s">
        <v>64</v>
      </c>
      <c r="Y81" s="16">
        <v>0</v>
      </c>
      <c r="Z81" s="16" t="s">
        <v>61</v>
      </c>
      <c r="AA81" s="16" t="s">
        <v>61</v>
      </c>
      <c r="AB81" s="16" t="s">
        <v>61</v>
      </c>
      <c r="AC81" s="20">
        <v>0</v>
      </c>
      <c r="AD81" s="20" t="s">
        <v>64</v>
      </c>
      <c r="AE81" s="16" t="s">
        <v>64</v>
      </c>
      <c r="AF81" s="20" t="s">
        <v>64</v>
      </c>
      <c r="AG81" s="20" t="s">
        <v>64</v>
      </c>
      <c r="AH81" t="s">
        <v>61</v>
      </c>
      <c r="AI81" s="16">
        <v>0</v>
      </c>
      <c r="AJ81" s="16" t="s">
        <v>64</v>
      </c>
      <c r="AK81" s="16" t="s">
        <v>64</v>
      </c>
      <c r="AL81" s="16" t="s">
        <v>64</v>
      </c>
      <c r="AM81" s="16" t="s">
        <v>64</v>
      </c>
      <c r="AN81" s="16" t="s">
        <v>64</v>
      </c>
      <c r="AO81" s="16" t="s">
        <v>64</v>
      </c>
      <c r="AP81" s="16">
        <v>0</v>
      </c>
      <c r="AQ81" s="127">
        <v>0</v>
      </c>
      <c r="AR81" s="16">
        <f>11/20*100</f>
        <v>55.000000000000007</v>
      </c>
      <c r="AS81" s="137">
        <f>AVERAGE(14,1,7,2,17,5,6,21,2,2,36,0,0,0,0,0,0,0,0)</f>
        <v>5.9473684210526319</v>
      </c>
    </row>
    <row r="82" spans="1:45">
      <c r="A82" t="s">
        <v>761</v>
      </c>
      <c r="B82" t="s">
        <v>144</v>
      </c>
      <c r="C82" t="s">
        <v>49</v>
      </c>
      <c r="D82" s="22" t="s">
        <v>943</v>
      </c>
      <c r="E82" s="22" t="s">
        <v>70</v>
      </c>
      <c r="F82" s="22" t="s">
        <v>74</v>
      </c>
      <c r="G82" s="22" t="s">
        <v>102</v>
      </c>
      <c r="H82">
        <v>37</v>
      </c>
      <c r="J82" s="15">
        <v>42594</v>
      </c>
      <c r="K82">
        <v>-3.4595809000000002</v>
      </c>
      <c r="L82">
        <v>29.543020200000001</v>
      </c>
      <c r="M82">
        <v>2287</v>
      </c>
      <c r="N82" t="s">
        <v>64</v>
      </c>
      <c r="O82" t="s">
        <v>974</v>
      </c>
      <c r="P82" s="131">
        <f>11*18</f>
        <v>198</v>
      </c>
      <c r="Q82">
        <v>5</v>
      </c>
      <c r="R82" t="s">
        <v>972</v>
      </c>
      <c r="S82" s="18">
        <v>1</v>
      </c>
      <c r="T82" s="18">
        <f>AVERAGE(2,1,1,1,1)</f>
        <v>1.2</v>
      </c>
      <c r="U82" s="16">
        <v>1</v>
      </c>
      <c r="V82" s="16">
        <f>AVERAGE(7,7,2,6,2)</f>
        <v>4.8</v>
      </c>
      <c r="W82" s="16">
        <v>1</v>
      </c>
      <c r="X82" s="16">
        <f>AVERAGE(2,0,0,0,0,0,0,0,0,0)</f>
        <v>0.2</v>
      </c>
      <c r="Y82" s="16">
        <v>0</v>
      </c>
      <c r="Z82" s="16" t="s">
        <v>61</v>
      </c>
      <c r="AA82" s="16" t="s">
        <v>61</v>
      </c>
      <c r="AB82" s="16" t="s">
        <v>61</v>
      </c>
      <c r="AC82" s="20">
        <v>0</v>
      </c>
      <c r="AD82" s="20" t="s">
        <v>64</v>
      </c>
      <c r="AE82" s="16" t="s">
        <v>64</v>
      </c>
      <c r="AF82" s="20" t="s">
        <v>64</v>
      </c>
      <c r="AG82" s="20" t="s">
        <v>64</v>
      </c>
      <c r="AH82" t="s">
        <v>61</v>
      </c>
      <c r="AI82" s="16">
        <v>0</v>
      </c>
      <c r="AJ82" s="16" t="s">
        <v>64</v>
      </c>
      <c r="AK82" s="16" t="s">
        <v>64</v>
      </c>
      <c r="AL82" s="16" t="s">
        <v>64</v>
      </c>
      <c r="AM82" s="16" t="s">
        <v>64</v>
      </c>
      <c r="AN82" s="16" t="s">
        <v>64</v>
      </c>
      <c r="AO82" s="16" t="s">
        <v>64</v>
      </c>
      <c r="AP82" s="16">
        <v>0</v>
      </c>
      <c r="AQ82" s="127">
        <v>0</v>
      </c>
      <c r="AR82" s="16">
        <f>11/20*100</f>
        <v>55.000000000000007</v>
      </c>
      <c r="AS82" s="137">
        <f>AVERAGE(2,1,2,1,5,4,26,1,9,4,10,0,0,0,0,0,0,0,0)</f>
        <v>3.4210526315789473</v>
      </c>
    </row>
    <row r="83" spans="1:45">
      <c r="A83" t="s">
        <v>761</v>
      </c>
      <c r="B83" t="s">
        <v>144</v>
      </c>
      <c r="C83" t="s">
        <v>49</v>
      </c>
      <c r="D83" s="22" t="s">
        <v>943</v>
      </c>
      <c r="E83" s="22" t="s">
        <v>94</v>
      </c>
      <c r="F83" s="22" t="s">
        <v>95</v>
      </c>
      <c r="G83" s="22" t="s">
        <v>96</v>
      </c>
      <c r="H83">
        <v>38</v>
      </c>
      <c r="J83" s="15">
        <v>42597</v>
      </c>
      <c r="K83">
        <v>-3.50617</v>
      </c>
      <c r="L83">
        <v>29.5243</v>
      </c>
      <c r="M83">
        <v>2226</v>
      </c>
      <c r="N83" t="s">
        <v>64</v>
      </c>
      <c r="O83" t="s">
        <v>975</v>
      </c>
      <c r="P83" s="131">
        <v>73</v>
      </c>
      <c r="Q83">
        <v>4</v>
      </c>
      <c r="R83" t="s">
        <v>976</v>
      </c>
      <c r="S83" s="18">
        <v>0</v>
      </c>
      <c r="T83" s="18">
        <v>1</v>
      </c>
      <c r="U83" s="16">
        <v>1</v>
      </c>
      <c r="V83" s="16">
        <f>AVERAGE(7,7,6,7,6)</f>
        <v>6.6</v>
      </c>
      <c r="W83" s="16">
        <v>1</v>
      </c>
      <c r="X83" s="16">
        <f>AVERAGE(2,1,0,0,0,0,0,0,0,0)</f>
        <v>0.3</v>
      </c>
      <c r="Y83" s="16">
        <v>0</v>
      </c>
      <c r="Z83" s="16" t="s">
        <v>61</v>
      </c>
      <c r="AA83" s="16" t="s">
        <v>61</v>
      </c>
      <c r="AB83" s="16" t="s">
        <v>61</v>
      </c>
      <c r="AC83" s="20">
        <v>0</v>
      </c>
      <c r="AD83" s="20" t="s">
        <v>64</v>
      </c>
      <c r="AE83" s="16" t="s">
        <v>64</v>
      </c>
      <c r="AF83" s="20" t="s">
        <v>64</v>
      </c>
      <c r="AG83" s="20" t="s">
        <v>64</v>
      </c>
      <c r="AH83" t="s">
        <v>61</v>
      </c>
      <c r="AI83" s="16">
        <v>0</v>
      </c>
      <c r="AJ83" s="16" t="s">
        <v>64</v>
      </c>
      <c r="AK83" s="16" t="s">
        <v>64</v>
      </c>
      <c r="AL83" s="16" t="s">
        <v>64</v>
      </c>
      <c r="AM83" s="16" t="s">
        <v>64</v>
      </c>
      <c r="AN83" s="16" t="s">
        <v>64</v>
      </c>
      <c r="AO83" s="16" t="s">
        <v>64</v>
      </c>
      <c r="AP83" s="16">
        <v>0</v>
      </c>
      <c r="AQ83" s="127">
        <v>0</v>
      </c>
      <c r="AR83" s="16">
        <f>7/20*100</f>
        <v>35</v>
      </c>
      <c r="AS83" s="137">
        <f>AVERAGE(1,2,3,2,2,4,4,98,0,0,0,0,0,0,0,0,0,0,0)</f>
        <v>6.1052631578947372</v>
      </c>
    </row>
    <row r="84" spans="1:45">
      <c r="A84" t="s">
        <v>761</v>
      </c>
      <c r="B84" t="s">
        <v>144</v>
      </c>
      <c r="C84" t="s">
        <v>49</v>
      </c>
      <c r="D84" s="22" t="s">
        <v>943</v>
      </c>
      <c r="E84" s="22" t="s">
        <v>94</v>
      </c>
      <c r="F84" s="22" t="s">
        <v>95</v>
      </c>
      <c r="G84" s="22" t="s">
        <v>225</v>
      </c>
      <c r="H84">
        <v>39</v>
      </c>
      <c r="J84" s="15">
        <v>42597</v>
      </c>
      <c r="K84">
        <v>-3.5286214</v>
      </c>
      <c r="L84">
        <v>29.5176239</v>
      </c>
      <c r="M84">
        <v>2311</v>
      </c>
      <c r="N84" t="s">
        <v>64</v>
      </c>
      <c r="O84" t="s">
        <v>977</v>
      </c>
      <c r="P84" s="131">
        <f>23*55</f>
        <v>1265</v>
      </c>
      <c r="Q84">
        <v>7</v>
      </c>
      <c r="R84" t="s">
        <v>785</v>
      </c>
      <c r="S84" s="18">
        <v>1</v>
      </c>
      <c r="T84" s="18">
        <f>AVERAGE(3,3,2,2,4)</f>
        <v>2.8</v>
      </c>
      <c r="U84" s="16">
        <v>1</v>
      </c>
      <c r="V84" s="16">
        <f>AVERAGE(8,7,6,2,2)</f>
        <v>5</v>
      </c>
      <c r="W84" s="16">
        <v>0</v>
      </c>
      <c r="X84" s="16" t="s">
        <v>64</v>
      </c>
      <c r="Y84" s="16">
        <v>2</v>
      </c>
      <c r="Z84" s="16" t="s">
        <v>61</v>
      </c>
      <c r="AA84" s="16" t="s">
        <v>61</v>
      </c>
      <c r="AB84" s="16" t="s">
        <v>61</v>
      </c>
      <c r="AC84" s="20">
        <v>0</v>
      </c>
      <c r="AD84" s="20" t="s">
        <v>64</v>
      </c>
      <c r="AE84" s="16" t="s">
        <v>64</v>
      </c>
      <c r="AF84" s="20" t="s">
        <v>64</v>
      </c>
      <c r="AG84" s="20" t="s">
        <v>64</v>
      </c>
      <c r="AH84" t="s">
        <v>61</v>
      </c>
      <c r="AI84" s="16">
        <v>0</v>
      </c>
      <c r="AJ84" s="16" t="s">
        <v>64</v>
      </c>
      <c r="AK84" s="16" t="s">
        <v>64</v>
      </c>
      <c r="AL84" s="16" t="s">
        <v>64</v>
      </c>
      <c r="AM84" s="16" t="s">
        <v>64</v>
      </c>
      <c r="AN84" s="16" t="s">
        <v>64</v>
      </c>
      <c r="AO84" s="16" t="s">
        <v>64</v>
      </c>
      <c r="AP84" s="16">
        <v>0</v>
      </c>
      <c r="AQ84" s="127">
        <v>0</v>
      </c>
      <c r="AR84" s="16">
        <f>10/20*100</f>
        <v>50</v>
      </c>
      <c r="AS84" s="137">
        <f>AVERAGE(27,10,6,69,4,45,11,8,20,20,0,0,0,0,0,0,0,0,0)</f>
        <v>11.578947368421053</v>
      </c>
    </row>
    <row r="85" spans="1:45">
      <c r="A85" t="s">
        <v>761</v>
      </c>
      <c r="B85" t="s">
        <v>144</v>
      </c>
      <c r="C85" t="s">
        <v>49</v>
      </c>
      <c r="D85" s="22" t="s">
        <v>943</v>
      </c>
      <c r="E85" s="22" t="s">
        <v>94</v>
      </c>
      <c r="F85" s="22" t="s">
        <v>978</v>
      </c>
      <c r="G85" s="22" t="s">
        <v>251</v>
      </c>
      <c r="H85">
        <v>40</v>
      </c>
      <c r="J85" s="15">
        <v>42597</v>
      </c>
      <c r="K85">
        <v>-3.5905670999999999</v>
      </c>
      <c r="L85">
        <v>29.521652199999998</v>
      </c>
      <c r="M85">
        <v>2411</v>
      </c>
      <c r="N85" t="s">
        <v>64</v>
      </c>
      <c r="O85" t="s">
        <v>979</v>
      </c>
      <c r="P85" s="131">
        <f>6*12</f>
        <v>72</v>
      </c>
      <c r="Q85">
        <v>13</v>
      </c>
      <c r="R85" t="s">
        <v>785</v>
      </c>
      <c r="S85" s="18">
        <v>1</v>
      </c>
      <c r="T85" s="18">
        <f>AVERAGE(3,2,2,2,2)</f>
        <v>2.2000000000000002</v>
      </c>
      <c r="U85" s="16">
        <v>1</v>
      </c>
      <c r="V85" s="16">
        <f>AVERAGE(7,2,6,7,7)</f>
        <v>5.8</v>
      </c>
      <c r="W85" s="16">
        <v>0</v>
      </c>
      <c r="X85" s="16" t="s">
        <v>64</v>
      </c>
      <c r="Y85" s="16">
        <v>1</v>
      </c>
      <c r="Z85" s="16" t="s">
        <v>61</v>
      </c>
      <c r="AA85" s="16" t="s">
        <v>61</v>
      </c>
      <c r="AB85" s="16" t="s">
        <v>61</v>
      </c>
      <c r="AC85" s="20">
        <v>0</v>
      </c>
      <c r="AD85" s="20" t="s">
        <v>64</v>
      </c>
      <c r="AE85" s="16" t="s">
        <v>64</v>
      </c>
      <c r="AF85" s="20" t="s">
        <v>64</v>
      </c>
      <c r="AG85" s="20" t="s">
        <v>64</v>
      </c>
      <c r="AH85" t="s">
        <v>61</v>
      </c>
      <c r="AI85" s="16">
        <v>0</v>
      </c>
      <c r="AJ85" s="16" t="s">
        <v>64</v>
      </c>
      <c r="AK85" s="16" t="s">
        <v>64</v>
      </c>
      <c r="AL85" s="16" t="s">
        <v>64</v>
      </c>
      <c r="AM85" s="16" t="s">
        <v>64</v>
      </c>
      <c r="AN85" s="16" t="s">
        <v>64</v>
      </c>
      <c r="AO85" s="16" t="s">
        <v>64</v>
      </c>
      <c r="AP85" s="16">
        <v>0</v>
      </c>
      <c r="AQ85" s="127">
        <v>0</v>
      </c>
      <c r="AR85" s="16">
        <f>13/20*100</f>
        <v>65</v>
      </c>
      <c r="AS85" s="137">
        <f>AVERAGE(1,7,5,5,5,7,2,30,25,11,1,2,5,0,0,0,0,0,0)</f>
        <v>5.5789473684210522</v>
      </c>
    </row>
    <row r="86" spans="1:45">
      <c r="A86" t="s">
        <v>761</v>
      </c>
      <c r="B86" t="s">
        <v>144</v>
      </c>
      <c r="C86" t="s">
        <v>49</v>
      </c>
      <c r="D86" s="22" t="s">
        <v>943</v>
      </c>
      <c r="E86" s="22" t="s">
        <v>94</v>
      </c>
      <c r="F86" s="22" t="s">
        <v>978</v>
      </c>
      <c r="G86" s="22" t="s">
        <v>980</v>
      </c>
      <c r="H86">
        <v>41</v>
      </c>
      <c r="J86" s="15">
        <v>42597</v>
      </c>
      <c r="K86">
        <v>-3.5771682</v>
      </c>
      <c r="L86">
        <v>29.494441999999999</v>
      </c>
      <c r="M86">
        <v>2338</v>
      </c>
      <c r="N86" t="s">
        <v>64</v>
      </c>
      <c r="O86" t="s">
        <v>981</v>
      </c>
      <c r="P86" s="131">
        <f>15*25</f>
        <v>375</v>
      </c>
      <c r="Q86">
        <v>5</v>
      </c>
      <c r="R86" t="s">
        <v>785</v>
      </c>
      <c r="S86" s="18">
        <v>0</v>
      </c>
      <c r="T86" s="18">
        <v>1</v>
      </c>
      <c r="U86" s="16">
        <v>1</v>
      </c>
      <c r="V86" s="16">
        <f>AVERAGE(4,2,2,5,6)</f>
        <v>3.8</v>
      </c>
      <c r="W86" s="16">
        <v>0</v>
      </c>
      <c r="X86" s="16" t="s">
        <v>64</v>
      </c>
      <c r="Y86" s="16">
        <v>1</v>
      </c>
      <c r="Z86" s="16" t="s">
        <v>61</v>
      </c>
      <c r="AA86" s="16" t="s">
        <v>61</v>
      </c>
      <c r="AB86" s="16" t="s">
        <v>61</v>
      </c>
      <c r="AC86" s="20">
        <v>0</v>
      </c>
      <c r="AD86" s="20" t="s">
        <v>64</v>
      </c>
      <c r="AE86" s="16" t="s">
        <v>64</v>
      </c>
      <c r="AF86" s="20" t="s">
        <v>64</v>
      </c>
      <c r="AG86" s="20" t="s">
        <v>64</v>
      </c>
      <c r="AH86" t="s">
        <v>61</v>
      </c>
      <c r="AI86" s="16">
        <v>0</v>
      </c>
      <c r="AJ86" s="16" t="s">
        <v>64</v>
      </c>
      <c r="AK86" s="16" t="s">
        <v>64</v>
      </c>
      <c r="AL86" s="16" t="s">
        <v>64</v>
      </c>
      <c r="AM86" s="16" t="s">
        <v>64</v>
      </c>
      <c r="AN86" s="16" t="s">
        <v>64</v>
      </c>
      <c r="AO86" s="16" t="s">
        <v>64</v>
      </c>
      <c r="AP86" s="16">
        <v>0</v>
      </c>
      <c r="AQ86" s="127">
        <v>0</v>
      </c>
      <c r="AR86" s="16">
        <f>8/20*100</f>
        <v>40</v>
      </c>
      <c r="AS86" s="137">
        <f>AVERAGE(0,0,3,7,18,4,5,13,23,18,0,0,0,0,0,0,0,0,0)</f>
        <v>4.7894736842105265</v>
      </c>
    </row>
    <row r="87" spans="1:45">
      <c r="A87" t="s">
        <v>761</v>
      </c>
      <c r="B87" t="s">
        <v>144</v>
      </c>
      <c r="C87" t="s">
        <v>49</v>
      </c>
      <c r="D87" s="22" t="s">
        <v>943</v>
      </c>
      <c r="E87" s="22" t="s">
        <v>94</v>
      </c>
      <c r="F87" s="22" t="s">
        <v>978</v>
      </c>
      <c r="G87" s="22" t="s">
        <v>980</v>
      </c>
      <c r="H87">
        <v>42</v>
      </c>
      <c r="J87" s="15">
        <v>42597</v>
      </c>
      <c r="K87">
        <v>-3.5706000000000002</v>
      </c>
      <c r="L87">
        <v>29.478298200000001</v>
      </c>
      <c r="M87">
        <v>2227</v>
      </c>
      <c r="N87" t="s">
        <v>64</v>
      </c>
      <c r="O87" t="s">
        <v>982</v>
      </c>
      <c r="P87" s="131">
        <f>8*18</f>
        <v>144</v>
      </c>
      <c r="Q87">
        <v>7</v>
      </c>
      <c r="R87" t="s">
        <v>983</v>
      </c>
      <c r="S87" s="18">
        <v>0</v>
      </c>
      <c r="T87" s="18">
        <v>1</v>
      </c>
      <c r="U87" s="16">
        <v>1</v>
      </c>
      <c r="V87" s="16">
        <f>AVERAGE(6,7,7,7,7)</f>
        <v>6.8</v>
      </c>
      <c r="W87" s="16">
        <v>0</v>
      </c>
      <c r="X87" s="16" t="s">
        <v>64</v>
      </c>
      <c r="Y87" s="16">
        <v>2</v>
      </c>
      <c r="Z87" s="16" t="s">
        <v>61</v>
      </c>
      <c r="AA87" s="16" t="s">
        <v>61</v>
      </c>
      <c r="AB87" s="16" t="s">
        <v>61</v>
      </c>
      <c r="AC87" s="20">
        <v>0</v>
      </c>
      <c r="AD87" s="20" t="s">
        <v>64</v>
      </c>
      <c r="AE87" s="16" t="s">
        <v>64</v>
      </c>
      <c r="AF87" s="20" t="s">
        <v>64</v>
      </c>
      <c r="AG87" s="20" t="s">
        <v>64</v>
      </c>
      <c r="AH87" t="s">
        <v>61</v>
      </c>
      <c r="AI87" s="16">
        <v>1</v>
      </c>
      <c r="AJ87" s="16" t="s">
        <v>64</v>
      </c>
      <c r="AK87" s="16">
        <v>1</v>
      </c>
      <c r="AL87" s="137">
        <v>0</v>
      </c>
      <c r="AM87" s="137">
        <v>0</v>
      </c>
      <c r="AN87" s="16">
        <v>0</v>
      </c>
      <c r="AO87" s="16">
        <v>0</v>
      </c>
      <c r="AP87" s="16">
        <v>0</v>
      </c>
      <c r="AQ87" s="127">
        <v>0</v>
      </c>
      <c r="AR87" s="16">
        <f>9/20*100</f>
        <v>45</v>
      </c>
      <c r="AS87" s="137">
        <f>AVERAGE(4,1,1,1,11,2,7,4,3,0,0,0,0,0,0,0,0,0,0)</f>
        <v>1.7894736842105263</v>
      </c>
    </row>
    <row r="88" spans="1:45">
      <c r="A88" t="s">
        <v>761</v>
      </c>
      <c r="B88" t="s">
        <v>144</v>
      </c>
      <c r="C88" t="s">
        <v>49</v>
      </c>
      <c r="D88" s="22" t="s">
        <v>943</v>
      </c>
      <c r="E88" s="22" t="s">
        <v>94</v>
      </c>
      <c r="F88" s="22" t="s">
        <v>978</v>
      </c>
      <c r="G88" s="22" t="s">
        <v>64</v>
      </c>
      <c r="H88">
        <v>43</v>
      </c>
      <c r="J88" s="15">
        <v>42597</v>
      </c>
      <c r="K88">
        <v>-3.5589260999999999</v>
      </c>
      <c r="L88">
        <v>29.4614029</v>
      </c>
      <c r="M88">
        <v>2060</v>
      </c>
      <c r="N88" t="s">
        <v>64</v>
      </c>
      <c r="O88" t="s">
        <v>64</v>
      </c>
      <c r="P88" s="131">
        <f>14*9</f>
        <v>126</v>
      </c>
      <c r="Q88" t="s">
        <v>64</v>
      </c>
      <c r="R88" t="s">
        <v>781</v>
      </c>
      <c r="S88" s="18">
        <v>1</v>
      </c>
      <c r="T88" s="18">
        <f>AVERAGE(2,1,2,3,1)</f>
        <v>1.8</v>
      </c>
      <c r="U88" s="16">
        <v>1</v>
      </c>
      <c r="V88" s="16">
        <f>AVERAGE(7,5,7,7,7)</f>
        <v>6.6</v>
      </c>
      <c r="W88" s="16">
        <v>0</v>
      </c>
      <c r="X88" s="16" t="s">
        <v>64</v>
      </c>
      <c r="Y88" s="16">
        <v>2</v>
      </c>
      <c r="Z88" s="16" t="s">
        <v>61</v>
      </c>
      <c r="AA88" s="16" t="s">
        <v>61</v>
      </c>
      <c r="AB88" s="16" t="s">
        <v>61</v>
      </c>
      <c r="AC88" s="20">
        <v>0</v>
      </c>
      <c r="AD88" s="20" t="s">
        <v>64</v>
      </c>
      <c r="AE88" s="16" t="s">
        <v>64</v>
      </c>
      <c r="AF88" s="20" t="s">
        <v>64</v>
      </c>
      <c r="AG88" s="20" t="s">
        <v>64</v>
      </c>
      <c r="AH88" t="s">
        <v>61</v>
      </c>
      <c r="AI88" s="16">
        <v>0</v>
      </c>
      <c r="AJ88" s="16" t="s">
        <v>64</v>
      </c>
      <c r="AK88" s="16" t="s">
        <v>64</v>
      </c>
      <c r="AL88" s="16" t="s">
        <v>64</v>
      </c>
      <c r="AM88" s="16" t="s">
        <v>64</v>
      </c>
      <c r="AN88" s="16" t="s">
        <v>64</v>
      </c>
      <c r="AO88" s="16" t="s">
        <v>64</v>
      </c>
      <c r="AP88" s="16">
        <v>0</v>
      </c>
      <c r="AQ88" s="127">
        <v>0</v>
      </c>
      <c r="AR88" s="16">
        <f>7/20*100</f>
        <v>35</v>
      </c>
      <c r="AS88" s="137">
        <f>AVERAGE(10,22,4,140,6,6,0,0,0,0,0,0,0,0,0,0,0,0,0)</f>
        <v>9.8947368421052637</v>
      </c>
    </row>
    <row r="89" spans="1:45">
      <c r="A89" t="s">
        <v>761</v>
      </c>
      <c r="B89" t="s">
        <v>144</v>
      </c>
      <c r="C89" t="s">
        <v>49</v>
      </c>
      <c r="D89" s="22" t="s">
        <v>943</v>
      </c>
      <c r="E89" s="22" t="s">
        <v>984</v>
      </c>
      <c r="F89" s="22" t="s">
        <v>985</v>
      </c>
      <c r="G89" s="22" t="s">
        <v>986</v>
      </c>
      <c r="H89">
        <v>44</v>
      </c>
      <c r="J89" s="15">
        <v>42598</v>
      </c>
      <c r="K89">
        <v>-3.5064329999999999</v>
      </c>
      <c r="L89">
        <v>29.388620400000001</v>
      </c>
      <c r="M89">
        <v>1413</v>
      </c>
      <c r="N89" t="s">
        <v>64</v>
      </c>
      <c r="O89" t="s">
        <v>987</v>
      </c>
      <c r="P89" s="131">
        <f>20*15</f>
        <v>300</v>
      </c>
      <c r="Q89">
        <v>6</v>
      </c>
      <c r="R89" t="s">
        <v>976</v>
      </c>
      <c r="S89" s="18">
        <v>0</v>
      </c>
      <c r="T89" s="18">
        <v>1</v>
      </c>
      <c r="U89" s="16">
        <v>1</v>
      </c>
      <c r="V89" s="16">
        <f>AVERAGE(4,4,3,4,2)</f>
        <v>3.4</v>
      </c>
      <c r="W89" s="16">
        <v>0</v>
      </c>
      <c r="X89" s="16" t="s">
        <v>64</v>
      </c>
      <c r="Y89" s="16">
        <v>0</v>
      </c>
      <c r="Z89" s="16" t="s">
        <v>61</v>
      </c>
      <c r="AA89" s="16" t="s">
        <v>61</v>
      </c>
      <c r="AB89" s="16" t="s">
        <v>61</v>
      </c>
      <c r="AC89" s="20">
        <v>1</v>
      </c>
      <c r="AD89" s="136">
        <f>AVERAGE(135,24,21,300,1,1,83,35,86,14,138,55,0,0,0,0,0,0,0)</f>
        <v>47</v>
      </c>
      <c r="AE89" s="20">
        <f>12/20*100</f>
        <v>60</v>
      </c>
      <c r="AF89" s="20">
        <v>25</v>
      </c>
      <c r="AG89" s="20" t="s">
        <v>61</v>
      </c>
      <c r="AH89" t="s">
        <v>61</v>
      </c>
      <c r="AI89" s="16">
        <v>0</v>
      </c>
      <c r="AJ89" s="16" t="s">
        <v>64</v>
      </c>
      <c r="AK89" s="16" t="s">
        <v>64</v>
      </c>
      <c r="AL89" s="16" t="s">
        <v>64</v>
      </c>
      <c r="AM89" s="16" t="s">
        <v>64</v>
      </c>
      <c r="AN89" s="16" t="s">
        <v>64</v>
      </c>
      <c r="AO89" s="16" t="s">
        <v>64</v>
      </c>
      <c r="AP89" s="16">
        <v>0</v>
      </c>
      <c r="AQ89" s="127">
        <v>0</v>
      </c>
      <c r="AR89" s="16">
        <v>0</v>
      </c>
      <c r="AS89" s="16">
        <v>0</v>
      </c>
    </row>
    <row r="90" spans="1:45">
      <c r="A90" t="s">
        <v>761</v>
      </c>
      <c r="B90" t="s">
        <v>144</v>
      </c>
      <c r="C90" t="s">
        <v>49</v>
      </c>
      <c r="D90" s="22" t="s">
        <v>943</v>
      </c>
      <c r="E90" s="22" t="s">
        <v>984</v>
      </c>
      <c r="F90" s="22" t="s">
        <v>985</v>
      </c>
      <c r="G90" s="22" t="s">
        <v>988</v>
      </c>
      <c r="H90">
        <v>45</v>
      </c>
      <c r="J90" s="15">
        <v>42598</v>
      </c>
      <c r="K90">
        <v>-3.5120070000000001</v>
      </c>
      <c r="L90">
        <v>29.393485999999999</v>
      </c>
      <c r="M90">
        <v>1500</v>
      </c>
      <c r="N90" t="s">
        <v>64</v>
      </c>
      <c r="O90" t="s">
        <v>989</v>
      </c>
      <c r="P90" s="131">
        <f>10*14</f>
        <v>140</v>
      </c>
      <c r="Q90">
        <v>4</v>
      </c>
      <c r="R90" t="s">
        <v>781</v>
      </c>
      <c r="S90" s="18">
        <v>0</v>
      </c>
      <c r="T90" s="18">
        <v>1</v>
      </c>
      <c r="U90" s="16">
        <v>1</v>
      </c>
      <c r="V90" s="16">
        <f>AVERAGE(3,2,2,2,5)</f>
        <v>2.8</v>
      </c>
      <c r="W90" s="16">
        <v>0</v>
      </c>
      <c r="X90" s="16" t="s">
        <v>64</v>
      </c>
      <c r="Y90" s="16">
        <v>0</v>
      </c>
      <c r="Z90" s="16" t="s">
        <v>61</v>
      </c>
      <c r="AA90" s="16" t="s">
        <v>61</v>
      </c>
      <c r="AB90" s="16" t="s">
        <v>61</v>
      </c>
      <c r="AC90" s="20">
        <v>1</v>
      </c>
      <c r="AD90" s="136">
        <f>AVERAGE(1,1,1,0,0,0,0,0,0,0,0,0,0,0,0,0,0,0,0)</f>
        <v>0.15789473684210525</v>
      </c>
      <c r="AE90" s="20">
        <f>3/20*100</f>
        <v>15</v>
      </c>
      <c r="AF90" s="20">
        <v>5</v>
      </c>
      <c r="AG90" s="20" t="s">
        <v>61</v>
      </c>
      <c r="AH90" t="s">
        <v>61</v>
      </c>
      <c r="AI90" s="16">
        <v>1</v>
      </c>
      <c r="AJ90" s="16">
        <v>20</v>
      </c>
      <c r="AK90" s="16">
        <v>3</v>
      </c>
      <c r="AL90" s="137">
        <f>9/30*100</f>
        <v>30</v>
      </c>
      <c r="AM90" s="137">
        <f>0.79/2.28*100</f>
        <v>34.649122807017548</v>
      </c>
      <c r="AN90" s="16">
        <v>0</v>
      </c>
      <c r="AO90" s="16">
        <v>0</v>
      </c>
      <c r="AP90" s="16">
        <v>0</v>
      </c>
      <c r="AQ90" s="127">
        <v>0</v>
      </c>
      <c r="AR90" s="16">
        <v>0</v>
      </c>
      <c r="AS90" s="16">
        <v>0</v>
      </c>
    </row>
    <row r="91" spans="1:45">
      <c r="A91" t="s">
        <v>761</v>
      </c>
      <c r="B91" t="s">
        <v>144</v>
      </c>
      <c r="C91" t="s">
        <v>49</v>
      </c>
      <c r="D91" s="22" t="s">
        <v>943</v>
      </c>
      <c r="E91" s="22" t="s">
        <v>984</v>
      </c>
      <c r="F91" s="22" t="s">
        <v>985</v>
      </c>
      <c r="G91" s="22" t="s">
        <v>990</v>
      </c>
      <c r="H91">
        <v>46</v>
      </c>
      <c r="J91" s="15">
        <v>42598</v>
      </c>
      <c r="K91">
        <v>-3.5210400000000002</v>
      </c>
      <c r="L91">
        <v>29.394729999999999</v>
      </c>
      <c r="M91">
        <v>1584</v>
      </c>
      <c r="N91" t="s">
        <v>64</v>
      </c>
      <c r="O91" t="s">
        <v>991</v>
      </c>
      <c r="P91" s="131">
        <f>8*36</f>
        <v>288</v>
      </c>
      <c r="Q91">
        <v>6</v>
      </c>
      <c r="R91" t="s">
        <v>781</v>
      </c>
      <c r="S91" s="18">
        <v>0</v>
      </c>
      <c r="T91" s="18">
        <v>1</v>
      </c>
      <c r="U91" s="16">
        <v>1</v>
      </c>
      <c r="V91" s="16">
        <f>AVERAGE(5,6,7,7,6)</f>
        <v>6.2</v>
      </c>
      <c r="W91" s="16">
        <v>0</v>
      </c>
      <c r="X91" s="16" t="s">
        <v>64</v>
      </c>
      <c r="Y91" s="16">
        <v>0</v>
      </c>
      <c r="Z91" s="16" t="s">
        <v>61</v>
      </c>
      <c r="AA91" s="16" t="s">
        <v>61</v>
      </c>
      <c r="AB91" s="16" t="s">
        <v>61</v>
      </c>
      <c r="AC91" s="20">
        <v>1</v>
      </c>
      <c r="AD91" s="136">
        <f>AVERAGE(10,30,18,25,10,0,0,0,0,0,0,0,0,0,0,0,0,0,0)</f>
        <v>4.8947368421052628</v>
      </c>
      <c r="AE91" s="20">
        <f>5/20*100</f>
        <v>25</v>
      </c>
      <c r="AF91" s="20">
        <v>10</v>
      </c>
      <c r="AG91" s="20" t="s">
        <v>61</v>
      </c>
      <c r="AH91" t="s">
        <v>61</v>
      </c>
      <c r="AI91" s="16">
        <v>1</v>
      </c>
      <c r="AJ91" s="16">
        <v>20</v>
      </c>
      <c r="AK91" s="16">
        <v>2</v>
      </c>
      <c r="AL91" s="137">
        <f>15/25*100</f>
        <v>60</v>
      </c>
      <c r="AM91" s="137">
        <f>1.53/2.2*100</f>
        <v>69.545454545454547</v>
      </c>
      <c r="AN91" s="16">
        <v>0</v>
      </c>
      <c r="AO91" s="16">
        <v>0</v>
      </c>
      <c r="AP91" s="16">
        <v>0</v>
      </c>
      <c r="AQ91" s="127">
        <v>0</v>
      </c>
      <c r="AR91" s="16">
        <v>0</v>
      </c>
      <c r="AS91" s="16">
        <v>0</v>
      </c>
    </row>
    <row r="92" spans="1:45">
      <c r="A92" t="s">
        <v>761</v>
      </c>
      <c r="B92" t="s">
        <v>144</v>
      </c>
      <c r="C92" t="s">
        <v>49</v>
      </c>
      <c r="D92" s="22" t="s">
        <v>943</v>
      </c>
      <c r="E92" s="22" t="s">
        <v>984</v>
      </c>
      <c r="F92" s="22" t="s">
        <v>985</v>
      </c>
      <c r="G92" s="22" t="s">
        <v>990</v>
      </c>
      <c r="H92">
        <v>47</v>
      </c>
      <c r="J92" s="15">
        <v>42598</v>
      </c>
      <c r="K92">
        <v>-3.52888</v>
      </c>
      <c r="L92">
        <v>29.40157</v>
      </c>
      <c r="M92">
        <v>1727</v>
      </c>
      <c r="N92" t="s">
        <v>64</v>
      </c>
      <c r="O92" t="s">
        <v>992</v>
      </c>
      <c r="P92" s="131">
        <f>20*45</f>
        <v>900</v>
      </c>
      <c r="Q92">
        <v>3</v>
      </c>
      <c r="R92" t="s">
        <v>781</v>
      </c>
      <c r="S92" s="18">
        <v>0</v>
      </c>
      <c r="T92" s="18">
        <v>1</v>
      </c>
      <c r="U92" s="16">
        <v>1</v>
      </c>
      <c r="V92" s="16">
        <f>AVERAGE(3,5,2,2,2)</f>
        <v>2.8</v>
      </c>
      <c r="W92" s="16">
        <v>0</v>
      </c>
      <c r="X92" s="16" t="s">
        <v>64</v>
      </c>
      <c r="Y92" s="16">
        <v>0</v>
      </c>
      <c r="Z92" s="16" t="s">
        <v>61</v>
      </c>
      <c r="AA92" s="16" t="s">
        <v>61</v>
      </c>
      <c r="AB92" s="16" t="s">
        <v>61</v>
      </c>
      <c r="AC92" s="20">
        <v>1</v>
      </c>
      <c r="AD92" s="136">
        <f>AVERAGE(28,68,42,46,37,22,116,31,6,4,25,41,22,50,67,23,20,0,0)</f>
        <v>34.10526315789474</v>
      </c>
      <c r="AE92" s="20">
        <f>17/20*100</f>
        <v>85</v>
      </c>
      <c r="AF92" s="20">
        <v>15</v>
      </c>
      <c r="AG92" s="20" t="s">
        <v>61</v>
      </c>
      <c r="AH92" t="s">
        <v>61</v>
      </c>
      <c r="AI92" s="16">
        <v>0</v>
      </c>
      <c r="AJ92" s="16" t="s">
        <v>64</v>
      </c>
      <c r="AK92" s="16" t="s">
        <v>64</v>
      </c>
      <c r="AL92" s="16" t="s">
        <v>64</v>
      </c>
      <c r="AM92" s="16" t="s">
        <v>64</v>
      </c>
      <c r="AN92" s="16" t="s">
        <v>64</v>
      </c>
      <c r="AO92" s="16" t="s">
        <v>64</v>
      </c>
      <c r="AP92" s="16">
        <v>0</v>
      </c>
      <c r="AQ92" s="127">
        <v>0</v>
      </c>
      <c r="AR92" s="16">
        <v>0</v>
      </c>
      <c r="AS92" s="16">
        <v>0</v>
      </c>
    </row>
    <row r="93" spans="1:45">
      <c r="A93" t="s">
        <v>761</v>
      </c>
      <c r="B93" t="s">
        <v>144</v>
      </c>
      <c r="C93" t="s">
        <v>49</v>
      </c>
      <c r="D93" s="22" t="s">
        <v>943</v>
      </c>
      <c r="E93" s="22" t="s">
        <v>864</v>
      </c>
      <c r="F93" s="22" t="s">
        <v>993</v>
      </c>
      <c r="G93" s="22" t="s">
        <v>993</v>
      </c>
      <c r="H93">
        <v>48</v>
      </c>
      <c r="J93" s="15">
        <v>42598</v>
      </c>
      <c r="K93">
        <v>-3.5420709000000001</v>
      </c>
      <c r="L93">
        <v>29.410243999999999</v>
      </c>
      <c r="M93">
        <v>1831</v>
      </c>
      <c r="N93" t="s">
        <v>64</v>
      </c>
      <c r="O93" t="s">
        <v>64</v>
      </c>
      <c r="P93" s="131">
        <f>56*16</f>
        <v>896</v>
      </c>
      <c r="Q93">
        <v>6</v>
      </c>
      <c r="R93" t="s">
        <v>781</v>
      </c>
      <c r="S93" s="18">
        <v>0</v>
      </c>
      <c r="T93" s="18">
        <v>1</v>
      </c>
      <c r="U93" s="16">
        <v>1</v>
      </c>
      <c r="V93" s="16">
        <f>AVERAGE(3,4,2,7,2)</f>
        <v>3.6</v>
      </c>
      <c r="W93" s="16">
        <v>0</v>
      </c>
      <c r="X93" s="16" t="s">
        <v>64</v>
      </c>
      <c r="Y93" s="16">
        <v>0</v>
      </c>
      <c r="Z93" s="16" t="s">
        <v>61</v>
      </c>
      <c r="AA93" s="16" t="s">
        <v>61</v>
      </c>
      <c r="AB93" s="16" t="s">
        <v>61</v>
      </c>
      <c r="AC93" s="20">
        <v>1</v>
      </c>
      <c r="AD93" s="136">
        <f>AVERAGE(1,0,0,0,0,0,0,0,0,0,0,0,0,0,0,0,0,0,0)</f>
        <v>5.2631578947368418E-2</v>
      </c>
      <c r="AE93" s="20">
        <f>1/20*100</f>
        <v>5</v>
      </c>
      <c r="AF93" s="20">
        <v>1</v>
      </c>
      <c r="AG93" s="20" t="s">
        <v>61</v>
      </c>
      <c r="AH93" t="s">
        <v>61</v>
      </c>
      <c r="AI93" s="16">
        <v>1</v>
      </c>
      <c r="AJ93" s="16" t="s">
        <v>64</v>
      </c>
      <c r="AK93" s="16">
        <v>1</v>
      </c>
      <c r="AL93" s="137">
        <f>1/32*100</f>
        <v>3.125</v>
      </c>
      <c r="AM93" s="137">
        <f>0.22/2.36*100</f>
        <v>9.3220338983050848</v>
      </c>
      <c r="AN93" s="16">
        <v>0</v>
      </c>
      <c r="AO93" s="16">
        <v>0</v>
      </c>
      <c r="AP93" s="16">
        <v>0</v>
      </c>
      <c r="AQ93" s="127">
        <v>0</v>
      </c>
      <c r="AR93" s="16">
        <f>2/20*100</f>
        <v>10</v>
      </c>
      <c r="AS93" s="137">
        <f>AVERAGE(1,1,0,0,0,0,0,0,0,0,0,0,0,0,0,0,0,0,0)</f>
        <v>0.10526315789473684</v>
      </c>
    </row>
    <row r="94" spans="1:45">
      <c r="A94" t="s">
        <v>761</v>
      </c>
      <c r="B94" t="s">
        <v>144</v>
      </c>
      <c r="C94" t="s">
        <v>49</v>
      </c>
      <c r="D94" s="22" t="s">
        <v>943</v>
      </c>
      <c r="E94" s="22" t="s">
        <v>864</v>
      </c>
      <c r="F94" s="22" t="s">
        <v>993</v>
      </c>
      <c r="G94" s="22" t="s">
        <v>994</v>
      </c>
      <c r="H94">
        <v>49</v>
      </c>
      <c r="J94" s="15">
        <v>42598</v>
      </c>
      <c r="K94">
        <v>-3.5290327000000001</v>
      </c>
      <c r="L94">
        <v>29.429927800000002</v>
      </c>
      <c r="M94">
        <v>1812</v>
      </c>
      <c r="N94" t="s">
        <v>64</v>
      </c>
      <c r="O94" t="s">
        <v>995</v>
      </c>
      <c r="P94" s="131">
        <f>26*16</f>
        <v>416</v>
      </c>
      <c r="Q94" t="s">
        <v>64</v>
      </c>
      <c r="R94" t="s">
        <v>781</v>
      </c>
      <c r="S94" s="18">
        <v>0</v>
      </c>
      <c r="T94" s="18">
        <v>1</v>
      </c>
      <c r="U94" s="16">
        <v>1</v>
      </c>
      <c r="V94" s="16">
        <f>AVERAGE(7,5,5,4,4)</f>
        <v>5</v>
      </c>
      <c r="W94" s="16">
        <v>1</v>
      </c>
      <c r="X94" s="16">
        <f>AVERAGE(2,0,0,0,0,0,0,0,0,0)</f>
        <v>0.2</v>
      </c>
      <c r="Y94" s="16">
        <v>0</v>
      </c>
      <c r="Z94" s="16" t="s">
        <v>61</v>
      </c>
      <c r="AA94" s="16" t="s">
        <v>61</v>
      </c>
      <c r="AB94" s="16" t="s">
        <v>61</v>
      </c>
      <c r="AC94" s="20">
        <v>0</v>
      </c>
      <c r="AD94" s="20" t="s">
        <v>64</v>
      </c>
      <c r="AE94" s="16" t="s">
        <v>64</v>
      </c>
      <c r="AF94" s="20" t="s">
        <v>64</v>
      </c>
      <c r="AG94" s="20" t="s">
        <v>64</v>
      </c>
      <c r="AH94" t="s">
        <v>61</v>
      </c>
      <c r="AI94" s="16">
        <v>1</v>
      </c>
      <c r="AJ94" s="16" t="s">
        <v>64</v>
      </c>
      <c r="AK94" s="16">
        <v>1</v>
      </c>
      <c r="AL94" s="137">
        <v>0</v>
      </c>
      <c r="AM94" s="137">
        <v>0</v>
      </c>
      <c r="AN94" s="16">
        <v>0</v>
      </c>
      <c r="AO94" s="62">
        <v>1</v>
      </c>
      <c r="AP94" s="16">
        <v>0</v>
      </c>
      <c r="AQ94" s="127">
        <v>0</v>
      </c>
      <c r="AR94" s="16">
        <f>1/20*100</f>
        <v>5</v>
      </c>
      <c r="AS94" s="137">
        <f>AVERAGE(1,0,0,0,0,0,0,0,0,0,0,0,0,0,0,0,0,0,0)</f>
        <v>5.2631578947368418E-2</v>
      </c>
    </row>
    <row r="95" spans="1:45">
      <c r="A95" t="s">
        <v>761</v>
      </c>
      <c r="B95" t="s">
        <v>144</v>
      </c>
      <c r="C95" t="s">
        <v>49</v>
      </c>
      <c r="D95" s="22" t="s">
        <v>943</v>
      </c>
      <c r="E95" s="22" t="s">
        <v>864</v>
      </c>
      <c r="F95" s="22" t="s">
        <v>993</v>
      </c>
      <c r="G95" s="22" t="s">
        <v>64</v>
      </c>
      <c r="H95">
        <v>50</v>
      </c>
      <c r="J95" s="15">
        <v>42598</v>
      </c>
      <c r="K95">
        <v>-3.5174356000000002</v>
      </c>
      <c r="L95">
        <v>29.4258022</v>
      </c>
      <c r="M95">
        <v>1763</v>
      </c>
      <c r="N95" t="s">
        <v>64</v>
      </c>
      <c r="O95" t="s">
        <v>996</v>
      </c>
      <c r="P95" s="131">
        <f>8*12</f>
        <v>96</v>
      </c>
      <c r="Q95">
        <v>10</v>
      </c>
      <c r="R95" t="s">
        <v>781</v>
      </c>
      <c r="S95" s="18">
        <v>0</v>
      </c>
      <c r="T95" s="18">
        <v>1</v>
      </c>
      <c r="U95" s="16">
        <v>1</v>
      </c>
      <c r="V95" s="16">
        <f>AVERAGE(2,2,2,2,2)</f>
        <v>2</v>
      </c>
      <c r="W95" s="16">
        <v>0</v>
      </c>
      <c r="X95" s="16" t="s">
        <v>64</v>
      </c>
      <c r="Y95" s="16">
        <v>0</v>
      </c>
      <c r="Z95" s="16" t="s">
        <v>61</v>
      </c>
      <c r="AA95" s="16" t="s">
        <v>61</v>
      </c>
      <c r="AB95" s="16" t="s">
        <v>61</v>
      </c>
      <c r="AC95" s="20">
        <v>0</v>
      </c>
      <c r="AD95" s="20" t="s">
        <v>64</v>
      </c>
      <c r="AE95" s="16" t="s">
        <v>64</v>
      </c>
      <c r="AF95" s="20" t="s">
        <v>64</v>
      </c>
      <c r="AG95" s="20" t="s">
        <v>64</v>
      </c>
      <c r="AH95" t="s">
        <v>61</v>
      </c>
      <c r="AI95" s="16">
        <v>1</v>
      </c>
      <c r="AJ95" s="16">
        <v>20</v>
      </c>
      <c r="AK95" s="16">
        <v>4</v>
      </c>
      <c r="AL95" s="137">
        <f>12/14*100</f>
        <v>85.714285714285708</v>
      </c>
      <c r="AM95" s="137">
        <f>1.04/1.29*100</f>
        <v>80.620155038759691</v>
      </c>
      <c r="AN95" s="16">
        <v>2</v>
      </c>
      <c r="AO95" s="62">
        <v>0</v>
      </c>
      <c r="AP95" s="16">
        <v>0</v>
      </c>
      <c r="AQ95" s="127">
        <v>0</v>
      </c>
      <c r="AR95" s="16">
        <v>0</v>
      </c>
      <c r="AS95" s="16">
        <v>0</v>
      </c>
    </row>
    <row r="96" spans="1:45">
      <c r="A96" t="s">
        <v>761</v>
      </c>
      <c r="B96" t="s">
        <v>144</v>
      </c>
      <c r="C96" t="s">
        <v>49</v>
      </c>
      <c r="D96" s="22" t="s">
        <v>943</v>
      </c>
      <c r="E96" s="22" t="s">
        <v>864</v>
      </c>
      <c r="F96" s="22" t="s">
        <v>993</v>
      </c>
      <c r="G96" s="22" t="s">
        <v>997</v>
      </c>
      <c r="H96">
        <v>51</v>
      </c>
      <c r="J96" s="15">
        <v>42598</v>
      </c>
      <c r="K96">
        <v>-3.5101056000000002</v>
      </c>
      <c r="L96">
        <v>29.414281800000001</v>
      </c>
      <c r="M96">
        <v>1716</v>
      </c>
      <c r="N96" t="s">
        <v>64</v>
      </c>
      <c r="O96" t="s">
        <v>998</v>
      </c>
      <c r="P96" s="131">
        <f>20*25</f>
        <v>500</v>
      </c>
      <c r="Q96">
        <v>5</v>
      </c>
      <c r="R96" t="s">
        <v>781</v>
      </c>
      <c r="S96" s="18">
        <v>0</v>
      </c>
      <c r="T96" s="18">
        <v>1</v>
      </c>
      <c r="U96" s="16">
        <v>1</v>
      </c>
      <c r="V96" s="16">
        <f>AVERAGE(3,3,4,4,4)</f>
        <v>3.6</v>
      </c>
      <c r="W96" s="16">
        <v>0</v>
      </c>
      <c r="X96" s="16" t="s">
        <v>64</v>
      </c>
      <c r="Y96" s="16">
        <v>0</v>
      </c>
      <c r="Z96" s="16" t="s">
        <v>61</v>
      </c>
      <c r="AA96" s="16" t="s">
        <v>61</v>
      </c>
      <c r="AB96" s="16" t="s">
        <v>61</v>
      </c>
      <c r="AC96" s="20">
        <v>1</v>
      </c>
      <c r="AD96" s="136">
        <f>AVERAGE(10,3,4,25,63,20,27,11)</f>
        <v>20.375</v>
      </c>
      <c r="AE96" s="20">
        <f>8/20*100</f>
        <v>40</v>
      </c>
      <c r="AF96" s="20">
        <v>10</v>
      </c>
      <c r="AG96" s="20" t="s">
        <v>61</v>
      </c>
      <c r="AH96" t="s">
        <v>61</v>
      </c>
      <c r="AI96" s="16">
        <v>0</v>
      </c>
      <c r="AJ96" s="16" t="s">
        <v>64</v>
      </c>
      <c r="AK96" s="16" t="s">
        <v>64</v>
      </c>
      <c r="AL96" s="16" t="s">
        <v>64</v>
      </c>
      <c r="AM96" s="16" t="s">
        <v>64</v>
      </c>
      <c r="AN96" s="16" t="s">
        <v>64</v>
      </c>
      <c r="AO96" s="16" t="s">
        <v>64</v>
      </c>
      <c r="AP96" s="16">
        <v>0</v>
      </c>
      <c r="AQ96" s="127">
        <v>0</v>
      </c>
      <c r="AR96" s="16">
        <v>0</v>
      </c>
      <c r="AS96" s="16">
        <v>0</v>
      </c>
    </row>
    <row r="97" spans="1:46">
      <c r="A97" t="s">
        <v>761</v>
      </c>
      <c r="B97" t="s">
        <v>144</v>
      </c>
      <c r="C97" t="s">
        <v>49</v>
      </c>
      <c r="D97" s="22" t="s">
        <v>145</v>
      </c>
      <c r="E97" s="22" t="s">
        <v>146</v>
      </c>
      <c r="F97" s="22" t="s">
        <v>939</v>
      </c>
      <c r="G97" s="22" t="s">
        <v>999</v>
      </c>
      <c r="H97">
        <v>52</v>
      </c>
      <c r="J97" s="15">
        <v>42598</v>
      </c>
      <c r="K97">
        <v>-3.2340498000000002</v>
      </c>
      <c r="L97">
        <v>29.445190400000001</v>
      </c>
      <c r="M97">
        <v>1285</v>
      </c>
      <c r="N97" t="s">
        <v>64</v>
      </c>
      <c r="O97" t="s">
        <v>1000</v>
      </c>
      <c r="P97" s="131">
        <f>16*14</f>
        <v>224</v>
      </c>
      <c r="Q97">
        <v>3</v>
      </c>
      <c r="R97" t="s">
        <v>1001</v>
      </c>
      <c r="S97" s="18">
        <v>0</v>
      </c>
      <c r="T97" s="18">
        <v>1</v>
      </c>
      <c r="U97" s="16">
        <v>1</v>
      </c>
      <c r="V97" s="16">
        <f>AVERAGE(2,3,3,2,3)</f>
        <v>2.6</v>
      </c>
      <c r="W97" s="16">
        <v>1</v>
      </c>
      <c r="X97" s="16">
        <f>AVERAGE(1,1,1,1,0,0,0,0,0,0)</f>
        <v>0.4</v>
      </c>
      <c r="Y97" s="16">
        <v>0</v>
      </c>
      <c r="Z97" s="16" t="s">
        <v>61</v>
      </c>
      <c r="AA97" s="16" t="s">
        <v>61</v>
      </c>
      <c r="AB97" s="16" t="s">
        <v>61</v>
      </c>
      <c r="AC97" s="20">
        <v>0</v>
      </c>
      <c r="AD97" s="20" t="s">
        <v>64</v>
      </c>
      <c r="AE97" s="16" t="s">
        <v>64</v>
      </c>
      <c r="AF97" s="20" t="s">
        <v>64</v>
      </c>
      <c r="AG97" s="20" t="s">
        <v>64</v>
      </c>
      <c r="AH97" t="s">
        <v>61</v>
      </c>
      <c r="AI97" s="16">
        <v>0</v>
      </c>
      <c r="AJ97" s="16" t="s">
        <v>64</v>
      </c>
      <c r="AK97" s="16" t="s">
        <v>64</v>
      </c>
      <c r="AL97" s="16" t="s">
        <v>64</v>
      </c>
      <c r="AM97" s="16" t="s">
        <v>64</v>
      </c>
      <c r="AN97" s="16" t="s">
        <v>64</v>
      </c>
      <c r="AO97" s="16" t="s">
        <v>64</v>
      </c>
      <c r="AP97" s="16">
        <v>0</v>
      </c>
      <c r="AQ97" s="127">
        <v>0</v>
      </c>
      <c r="AR97" s="16">
        <v>0</v>
      </c>
      <c r="AS97" s="16">
        <v>0</v>
      </c>
    </row>
    <row r="98" spans="1:46">
      <c r="A98" s="16" t="s">
        <v>761</v>
      </c>
      <c r="B98" t="s">
        <v>144</v>
      </c>
      <c r="C98" t="s">
        <v>49</v>
      </c>
      <c r="D98" s="22" t="s">
        <v>145</v>
      </c>
      <c r="E98" s="22" t="s">
        <v>146</v>
      </c>
      <c r="F98" s="16" t="s">
        <v>146</v>
      </c>
      <c r="G98" s="16" t="s">
        <v>146</v>
      </c>
      <c r="H98">
        <v>53</v>
      </c>
      <c r="J98" s="65">
        <v>42599</v>
      </c>
      <c r="K98" s="16">
        <v>-3.2338963000000001</v>
      </c>
      <c r="L98" s="16">
        <v>29.468343699999998</v>
      </c>
      <c r="M98" s="16">
        <v>1511</v>
      </c>
      <c r="N98" t="s">
        <v>64</v>
      </c>
      <c r="O98" s="16" t="s">
        <v>1002</v>
      </c>
      <c r="P98" s="132">
        <f>18*21</f>
        <v>378</v>
      </c>
      <c r="Q98" s="16">
        <v>4</v>
      </c>
      <c r="R98" t="s">
        <v>781</v>
      </c>
      <c r="S98" s="18">
        <v>0</v>
      </c>
      <c r="T98" s="18">
        <v>1</v>
      </c>
      <c r="U98" s="16">
        <v>1</v>
      </c>
      <c r="V98" s="16">
        <f>AVERAGE(6,6,4,4,5)</f>
        <v>5</v>
      </c>
      <c r="W98" s="16">
        <v>1</v>
      </c>
      <c r="X98" s="16">
        <f>AVERAGE(1,1,0,0,0,0,0,0,0,0)</f>
        <v>0.2</v>
      </c>
      <c r="Y98" s="16">
        <v>0</v>
      </c>
      <c r="Z98" s="16" t="s">
        <v>61</v>
      </c>
      <c r="AA98" s="16" t="s">
        <v>61</v>
      </c>
      <c r="AB98" s="16" t="s">
        <v>61</v>
      </c>
      <c r="AC98" s="20">
        <v>0</v>
      </c>
      <c r="AD98" s="20" t="s">
        <v>64</v>
      </c>
      <c r="AE98" s="16" t="s">
        <v>64</v>
      </c>
      <c r="AF98" s="20" t="s">
        <v>64</v>
      </c>
      <c r="AG98" s="20" t="s">
        <v>64</v>
      </c>
      <c r="AH98" t="s">
        <v>61</v>
      </c>
      <c r="AI98" s="16">
        <v>1</v>
      </c>
      <c r="AJ98" s="16" t="s">
        <v>64</v>
      </c>
      <c r="AK98" s="16">
        <v>1</v>
      </c>
      <c r="AL98" s="137">
        <f>2/30*100</f>
        <v>6.666666666666667</v>
      </c>
      <c r="AM98" s="137">
        <v>0</v>
      </c>
      <c r="AN98" s="16">
        <v>0</v>
      </c>
      <c r="AO98" s="16">
        <v>0</v>
      </c>
      <c r="AP98" s="16">
        <v>0</v>
      </c>
      <c r="AQ98" s="127">
        <v>0</v>
      </c>
      <c r="AR98" s="16">
        <v>0</v>
      </c>
      <c r="AS98" s="16">
        <v>0</v>
      </c>
    </row>
    <row r="99" spans="1:46">
      <c r="A99" t="s">
        <v>761</v>
      </c>
      <c r="B99" t="s">
        <v>144</v>
      </c>
      <c r="C99" t="s">
        <v>49</v>
      </c>
      <c r="D99" s="22" t="s">
        <v>145</v>
      </c>
      <c r="E99" s="22" t="s">
        <v>146</v>
      </c>
      <c r="F99" s="22" t="s">
        <v>146</v>
      </c>
      <c r="G99" s="22" t="s">
        <v>890</v>
      </c>
      <c r="H99">
        <v>54</v>
      </c>
      <c r="J99" s="65">
        <v>42599</v>
      </c>
      <c r="K99">
        <v>-3.2066021</v>
      </c>
      <c r="L99">
        <v>29.488891599999999</v>
      </c>
      <c r="M99">
        <v>1622</v>
      </c>
      <c r="N99" t="s">
        <v>64</v>
      </c>
      <c r="O99" t="s">
        <v>1003</v>
      </c>
      <c r="P99" s="131">
        <f>20*5</f>
        <v>100</v>
      </c>
      <c r="Q99">
        <v>6</v>
      </c>
      <c r="R99" t="s">
        <v>781</v>
      </c>
      <c r="S99" s="18">
        <v>0</v>
      </c>
      <c r="T99" s="18">
        <v>1</v>
      </c>
      <c r="U99" s="16">
        <v>1</v>
      </c>
      <c r="V99" s="16">
        <f>AVERAGE(6,5,6,5,7)</f>
        <v>5.8</v>
      </c>
      <c r="W99" s="16">
        <v>0</v>
      </c>
      <c r="X99" s="16" t="s">
        <v>64</v>
      </c>
      <c r="Y99" s="16">
        <v>1</v>
      </c>
      <c r="Z99" s="16" t="s">
        <v>61</v>
      </c>
      <c r="AA99" s="16" t="s">
        <v>61</v>
      </c>
      <c r="AB99" s="16" t="s">
        <v>61</v>
      </c>
      <c r="AC99" s="20">
        <v>1</v>
      </c>
      <c r="AD99" s="136">
        <f>AVERAGE(1,0,0,0,0,0,0,0,0,0,0,0,0,0,0,0,0,0,0)</f>
        <v>5.2631578947368418E-2</v>
      </c>
      <c r="AE99" s="20">
        <f>1/20*100</f>
        <v>5</v>
      </c>
      <c r="AF99" s="20">
        <v>1</v>
      </c>
      <c r="AG99" s="20" t="s">
        <v>61</v>
      </c>
      <c r="AH99" t="s">
        <v>61</v>
      </c>
      <c r="AI99" s="16">
        <v>0</v>
      </c>
      <c r="AJ99" s="16" t="s">
        <v>64</v>
      </c>
      <c r="AK99" s="16" t="s">
        <v>64</v>
      </c>
      <c r="AL99" s="16" t="s">
        <v>64</v>
      </c>
      <c r="AM99" s="16" t="s">
        <v>64</v>
      </c>
      <c r="AN99" s="16" t="s">
        <v>64</v>
      </c>
      <c r="AO99" s="16" t="s">
        <v>64</v>
      </c>
      <c r="AP99" s="16">
        <v>0</v>
      </c>
      <c r="AQ99" s="127">
        <v>0</v>
      </c>
      <c r="AR99" s="16">
        <f>1/20*100</f>
        <v>5</v>
      </c>
      <c r="AS99" s="137">
        <f>AVERAGE(3,0,0,0,0,0,0,0,0,0,0,0,0,0,0,0,0,0,0)</f>
        <v>0.15789473684210525</v>
      </c>
    </row>
    <row r="100" spans="1:46">
      <c r="A100" t="s">
        <v>761</v>
      </c>
      <c r="B100" t="s">
        <v>144</v>
      </c>
      <c r="C100" t="s">
        <v>49</v>
      </c>
      <c r="D100" s="22" t="s">
        <v>145</v>
      </c>
      <c r="E100" s="22" t="s">
        <v>146</v>
      </c>
      <c r="F100" s="22" t="s">
        <v>148</v>
      </c>
      <c r="G100" s="22" t="s">
        <v>890</v>
      </c>
      <c r="H100">
        <v>55</v>
      </c>
      <c r="J100" s="65">
        <v>42599</v>
      </c>
      <c r="K100">
        <v>-3.1871375999999998</v>
      </c>
      <c r="L100">
        <v>29.484651599999999</v>
      </c>
      <c r="M100">
        <v>1568</v>
      </c>
      <c r="N100" t="s">
        <v>64</v>
      </c>
      <c r="O100" t="s">
        <v>1004</v>
      </c>
      <c r="P100" s="131">
        <f>10*16</f>
        <v>160</v>
      </c>
      <c r="Q100">
        <v>3</v>
      </c>
      <c r="R100" t="s">
        <v>781</v>
      </c>
      <c r="S100" s="18">
        <v>0</v>
      </c>
      <c r="T100" s="18">
        <v>1</v>
      </c>
      <c r="U100" s="16">
        <v>1</v>
      </c>
      <c r="V100" s="16">
        <f>AVERAGE(7,6,7,5,5)</f>
        <v>6</v>
      </c>
      <c r="W100" s="16">
        <v>1</v>
      </c>
      <c r="X100" s="16">
        <f>AVERAGE(20,4,30,15,14,3,1,1,5,13,10,7)</f>
        <v>10.25</v>
      </c>
      <c r="Y100" s="16">
        <v>0</v>
      </c>
      <c r="Z100" s="16" t="s">
        <v>61</v>
      </c>
      <c r="AA100" s="16" t="s">
        <v>61</v>
      </c>
      <c r="AB100" s="16" t="s">
        <v>61</v>
      </c>
      <c r="AC100" s="20">
        <v>1</v>
      </c>
      <c r="AD100" s="136">
        <f>AVERAGE(20,0,0,0,0,0,0,0,0,0,0,0,0,0,0,0,0,0,0)</f>
        <v>1.0526315789473684</v>
      </c>
      <c r="AE100" s="20">
        <f>1/20*100</f>
        <v>5</v>
      </c>
      <c r="AF100" s="20">
        <v>1</v>
      </c>
      <c r="AG100" s="20" t="s">
        <v>61</v>
      </c>
      <c r="AH100" t="s">
        <v>61</v>
      </c>
      <c r="AI100" s="16">
        <v>0</v>
      </c>
      <c r="AJ100" s="16" t="s">
        <v>64</v>
      </c>
      <c r="AK100" s="16" t="s">
        <v>64</v>
      </c>
      <c r="AL100" s="16" t="s">
        <v>64</v>
      </c>
      <c r="AM100" s="16" t="s">
        <v>64</v>
      </c>
      <c r="AN100" s="16" t="s">
        <v>64</v>
      </c>
      <c r="AO100" s="16" t="s">
        <v>64</v>
      </c>
      <c r="AP100" s="16">
        <v>0</v>
      </c>
      <c r="AQ100" s="127">
        <v>0</v>
      </c>
      <c r="AR100" s="16">
        <f>3/20*100</f>
        <v>15</v>
      </c>
      <c r="AS100" s="137">
        <f>AVERAGE(1,1,2,0,0,0,0,0,0,0,0,0,0,0,0,0,0,0,0)</f>
        <v>0.21052631578947367</v>
      </c>
    </row>
    <row r="101" spans="1:46">
      <c r="A101" t="s">
        <v>761</v>
      </c>
      <c r="B101" t="s">
        <v>144</v>
      </c>
      <c r="C101" t="s">
        <v>49</v>
      </c>
      <c r="D101" s="22" t="s">
        <v>145</v>
      </c>
      <c r="E101" s="22" t="s">
        <v>146</v>
      </c>
      <c r="F101" s="22" t="s">
        <v>148</v>
      </c>
      <c r="G101" s="22" t="s">
        <v>1005</v>
      </c>
      <c r="H101">
        <v>56</v>
      </c>
      <c r="J101" s="65">
        <v>42599</v>
      </c>
      <c r="K101">
        <v>-3.1499858000000001</v>
      </c>
      <c r="L101">
        <v>29.4972019</v>
      </c>
      <c r="M101">
        <v>1655</v>
      </c>
      <c r="N101" t="s">
        <v>64</v>
      </c>
      <c r="O101" t="s">
        <v>1006</v>
      </c>
      <c r="P101" s="131">
        <f>9*10</f>
        <v>90</v>
      </c>
      <c r="Q101">
        <v>3</v>
      </c>
      <c r="R101" t="s">
        <v>781</v>
      </c>
      <c r="S101" s="18">
        <v>0</v>
      </c>
      <c r="T101" s="18">
        <v>1</v>
      </c>
      <c r="U101" s="16">
        <v>1</v>
      </c>
      <c r="V101" s="16">
        <f>AVERAGE(7,7,5,5,5)</f>
        <v>5.8</v>
      </c>
      <c r="W101" s="16">
        <v>0</v>
      </c>
      <c r="X101" s="16" t="s">
        <v>64</v>
      </c>
      <c r="Y101" s="16">
        <v>0</v>
      </c>
      <c r="Z101" s="16" t="s">
        <v>61</v>
      </c>
      <c r="AA101" s="16" t="s">
        <v>61</v>
      </c>
      <c r="AB101" s="16" t="s">
        <v>61</v>
      </c>
      <c r="AC101" s="20">
        <v>0</v>
      </c>
      <c r="AD101" s="20" t="s">
        <v>64</v>
      </c>
      <c r="AE101" s="16" t="s">
        <v>64</v>
      </c>
      <c r="AF101" s="20" t="s">
        <v>64</v>
      </c>
      <c r="AG101" s="20" t="s">
        <v>64</v>
      </c>
      <c r="AH101" t="s">
        <v>61</v>
      </c>
      <c r="AI101" s="16">
        <v>1</v>
      </c>
      <c r="AJ101" s="16">
        <v>25</v>
      </c>
      <c r="AK101" s="16">
        <v>3</v>
      </c>
      <c r="AL101" s="137">
        <f>2/33*100</f>
        <v>6.0606060606060606</v>
      </c>
      <c r="AM101" s="137">
        <f>0.19/1.75*100</f>
        <v>10.857142857142858</v>
      </c>
      <c r="AN101" s="16">
        <v>0</v>
      </c>
      <c r="AO101" s="16">
        <v>0</v>
      </c>
      <c r="AP101" s="16">
        <v>0</v>
      </c>
      <c r="AQ101" s="127">
        <v>0</v>
      </c>
      <c r="AR101" s="16">
        <v>0</v>
      </c>
      <c r="AS101" s="16">
        <v>0</v>
      </c>
    </row>
    <row r="102" spans="1:46">
      <c r="A102" t="s">
        <v>761</v>
      </c>
      <c r="B102" t="s">
        <v>144</v>
      </c>
      <c r="C102" t="s">
        <v>49</v>
      </c>
      <c r="D102" s="22" t="s">
        <v>145</v>
      </c>
      <c r="E102" s="22" t="s">
        <v>162</v>
      </c>
      <c r="F102" s="22" t="s">
        <v>164</v>
      </c>
      <c r="G102" s="22" t="s">
        <v>1007</v>
      </c>
      <c r="H102">
        <v>57</v>
      </c>
      <c r="J102" s="65">
        <v>42599</v>
      </c>
      <c r="K102">
        <v>-3.1183920000000001</v>
      </c>
      <c r="L102">
        <v>29.464288700000001</v>
      </c>
      <c r="M102">
        <v>1029</v>
      </c>
      <c r="N102" t="s">
        <v>64</v>
      </c>
      <c r="O102" t="s">
        <v>1008</v>
      </c>
      <c r="P102" s="131">
        <f>10*25</f>
        <v>250</v>
      </c>
      <c r="Q102">
        <v>3</v>
      </c>
      <c r="R102" t="s">
        <v>1009</v>
      </c>
      <c r="S102" s="18">
        <v>0</v>
      </c>
      <c r="T102" s="18">
        <v>1</v>
      </c>
      <c r="U102" s="16">
        <v>1</v>
      </c>
      <c r="V102" s="16">
        <f>AVERAGE(4,8,5,5,5)</f>
        <v>5.4</v>
      </c>
      <c r="W102" s="16">
        <v>0</v>
      </c>
      <c r="X102" s="16" t="s">
        <v>64</v>
      </c>
      <c r="Y102" s="16">
        <v>1</v>
      </c>
      <c r="Z102" s="16" t="s">
        <v>61</v>
      </c>
      <c r="AA102" s="16" t="s">
        <v>61</v>
      </c>
      <c r="AB102" s="16" t="s">
        <v>61</v>
      </c>
      <c r="AC102" s="20">
        <v>1</v>
      </c>
      <c r="AD102" s="136">
        <f>AVERAGE(1,0,0,0,0,0,0,0,0,0,0,0,0,0,0,0,0,0,0)</f>
        <v>5.2631578947368418E-2</v>
      </c>
      <c r="AE102" s="20">
        <f>1/20*100</f>
        <v>5</v>
      </c>
      <c r="AF102" s="20">
        <v>1</v>
      </c>
      <c r="AG102" s="20" t="s">
        <v>61</v>
      </c>
      <c r="AH102" t="s">
        <v>61</v>
      </c>
      <c r="AI102" s="16">
        <v>0</v>
      </c>
      <c r="AJ102" s="16" t="s">
        <v>64</v>
      </c>
      <c r="AK102" s="16" t="s">
        <v>64</v>
      </c>
      <c r="AL102" s="16" t="s">
        <v>64</v>
      </c>
      <c r="AM102" s="16" t="s">
        <v>64</v>
      </c>
      <c r="AN102" s="16" t="s">
        <v>64</v>
      </c>
      <c r="AO102" s="16" t="s">
        <v>64</v>
      </c>
      <c r="AP102" s="16">
        <v>0</v>
      </c>
      <c r="AQ102" s="127">
        <v>0</v>
      </c>
      <c r="AR102" s="16">
        <v>0</v>
      </c>
      <c r="AS102" s="16">
        <v>0</v>
      </c>
    </row>
    <row r="103" spans="1:46">
      <c r="A103" t="s">
        <v>761</v>
      </c>
      <c r="B103" t="s">
        <v>144</v>
      </c>
      <c r="C103" t="s">
        <v>49</v>
      </c>
      <c r="D103" s="22" t="s">
        <v>145</v>
      </c>
      <c r="E103" s="22" t="s">
        <v>162</v>
      </c>
      <c r="F103" s="22" t="s">
        <v>162</v>
      </c>
      <c r="G103" s="22" t="s">
        <v>1010</v>
      </c>
      <c r="H103">
        <v>58</v>
      </c>
      <c r="J103" s="15">
        <v>42599</v>
      </c>
      <c r="K103">
        <v>-3.0769384</v>
      </c>
      <c r="L103">
        <v>29.478612900000002</v>
      </c>
      <c r="M103">
        <v>1571</v>
      </c>
      <c r="N103" t="s">
        <v>64</v>
      </c>
      <c r="O103" t="s">
        <v>1011</v>
      </c>
      <c r="P103" s="131" t="s">
        <v>64</v>
      </c>
      <c r="Q103">
        <v>3</v>
      </c>
      <c r="R103" t="s">
        <v>1012</v>
      </c>
      <c r="S103" s="18">
        <v>1</v>
      </c>
      <c r="T103" s="18">
        <f>AVERAGE(1,2,1,1,1,)</f>
        <v>1</v>
      </c>
      <c r="U103" s="16">
        <v>1</v>
      </c>
      <c r="V103" s="16">
        <f>AVERAGE(6,6,5,5,6)</f>
        <v>5.6</v>
      </c>
      <c r="W103" s="16">
        <v>0</v>
      </c>
      <c r="X103" s="16" t="s">
        <v>64</v>
      </c>
      <c r="Y103" s="16">
        <v>1</v>
      </c>
      <c r="Z103" s="16" t="s">
        <v>61</v>
      </c>
      <c r="AA103" s="16" t="s">
        <v>61</v>
      </c>
      <c r="AB103" s="16" t="s">
        <v>61</v>
      </c>
      <c r="AC103" s="20">
        <v>1</v>
      </c>
      <c r="AD103" s="136">
        <f>AVERAGE(1,0,0,0,0,0,0,0,0,0,0,0,0,0,0,0,0,0,0)</f>
        <v>5.2631578947368418E-2</v>
      </c>
      <c r="AE103" s="20">
        <f>1/20*100</f>
        <v>5</v>
      </c>
      <c r="AF103" s="20">
        <v>1</v>
      </c>
      <c r="AG103" s="20" t="s">
        <v>61</v>
      </c>
      <c r="AH103" t="s">
        <v>61</v>
      </c>
      <c r="AI103" s="16">
        <v>0</v>
      </c>
      <c r="AJ103" s="16" t="s">
        <v>64</v>
      </c>
      <c r="AK103" s="16" t="s">
        <v>64</v>
      </c>
      <c r="AL103" s="16" t="s">
        <v>64</v>
      </c>
      <c r="AM103" s="16" t="s">
        <v>64</v>
      </c>
      <c r="AN103" s="16" t="s">
        <v>64</v>
      </c>
      <c r="AO103" s="16" t="s">
        <v>64</v>
      </c>
      <c r="AP103" s="16">
        <v>0</v>
      </c>
      <c r="AQ103" s="127">
        <v>0</v>
      </c>
      <c r="AR103" s="16">
        <f>1/20*100</f>
        <v>5</v>
      </c>
      <c r="AS103" s="137">
        <f>AVERAGE(1,0,0,0,0,0,0,0,0,0,0,0,0,0,0,0,0,0,0)</f>
        <v>5.2631578947368418E-2</v>
      </c>
    </row>
    <row r="104" spans="1:46">
      <c r="A104" t="s">
        <v>761</v>
      </c>
      <c r="B104" t="s">
        <v>144</v>
      </c>
      <c r="C104" t="s">
        <v>49</v>
      </c>
      <c r="D104" s="22" t="s">
        <v>943</v>
      </c>
      <c r="E104" s="22" t="s">
        <v>797</v>
      </c>
      <c r="F104" s="22" t="s">
        <v>799</v>
      </c>
      <c r="G104" s="22" t="s">
        <v>64</v>
      </c>
      <c r="H104">
        <v>59</v>
      </c>
      <c r="J104" s="15">
        <v>42600</v>
      </c>
      <c r="K104">
        <v>-3.3324690000000001</v>
      </c>
      <c r="L104">
        <v>29.458684900000002</v>
      </c>
      <c r="M104">
        <v>1569</v>
      </c>
      <c r="N104" t="s">
        <v>64</v>
      </c>
      <c r="O104" t="s">
        <v>64</v>
      </c>
      <c r="P104" s="131">
        <f>10*18</f>
        <v>180</v>
      </c>
      <c r="Q104" t="s">
        <v>64</v>
      </c>
      <c r="R104" t="s">
        <v>781</v>
      </c>
      <c r="S104" s="18">
        <v>0</v>
      </c>
      <c r="T104" s="18">
        <v>1</v>
      </c>
      <c r="U104" s="16">
        <v>1</v>
      </c>
      <c r="V104" s="16">
        <f>AVERAGE(5,4,4,4,5)</f>
        <v>4.4000000000000004</v>
      </c>
      <c r="W104" s="16">
        <v>1</v>
      </c>
      <c r="X104" s="16">
        <f>AVERAGE(1,2,1,1,1,0,0,0,0,0)</f>
        <v>0.6</v>
      </c>
      <c r="Y104" s="16">
        <v>0</v>
      </c>
      <c r="Z104" s="16" t="s">
        <v>782</v>
      </c>
      <c r="AA104" s="16" t="s">
        <v>61</v>
      </c>
      <c r="AB104" s="16" t="s">
        <v>61</v>
      </c>
      <c r="AC104" s="20">
        <v>0</v>
      </c>
      <c r="AD104" s="20" t="s">
        <v>64</v>
      </c>
      <c r="AE104" s="16" t="s">
        <v>64</v>
      </c>
      <c r="AF104" s="20" t="s">
        <v>64</v>
      </c>
      <c r="AG104" s="20" t="s">
        <v>64</v>
      </c>
      <c r="AH104" t="s">
        <v>61</v>
      </c>
      <c r="AI104" s="16">
        <v>0</v>
      </c>
      <c r="AJ104" s="16" t="s">
        <v>64</v>
      </c>
      <c r="AK104" s="16" t="s">
        <v>64</v>
      </c>
      <c r="AL104" s="16" t="s">
        <v>64</v>
      </c>
      <c r="AM104" s="16" t="s">
        <v>64</v>
      </c>
      <c r="AN104" s="16" t="s">
        <v>64</v>
      </c>
      <c r="AO104" s="16" t="s">
        <v>64</v>
      </c>
      <c r="AP104" s="16">
        <v>0</v>
      </c>
      <c r="AQ104" s="127">
        <v>0</v>
      </c>
      <c r="AR104" s="16">
        <f>1/20*100</f>
        <v>5</v>
      </c>
      <c r="AS104" s="137">
        <f>AVERAGE(1,0,0,0,0,0,0,0,0,0,0,0,0,0,0,0,0,0,0)</f>
        <v>5.2631578947368418E-2</v>
      </c>
    </row>
    <row r="105" spans="1:46">
      <c r="A105" t="s">
        <v>761</v>
      </c>
      <c r="B105" t="s">
        <v>144</v>
      </c>
      <c r="C105" t="s">
        <v>49</v>
      </c>
      <c r="D105" s="22" t="s">
        <v>943</v>
      </c>
      <c r="E105" s="22" t="s">
        <v>797</v>
      </c>
      <c r="F105" s="22" t="s">
        <v>883</v>
      </c>
      <c r="G105" s="22" t="s">
        <v>1013</v>
      </c>
      <c r="H105">
        <v>60</v>
      </c>
      <c r="J105" s="15">
        <v>42600</v>
      </c>
      <c r="K105">
        <v>-3.3532951</v>
      </c>
      <c r="L105">
        <v>29.499471700000001</v>
      </c>
      <c r="M105">
        <v>1790</v>
      </c>
      <c r="N105" t="s">
        <v>64</v>
      </c>
      <c r="O105" t="s">
        <v>1014</v>
      </c>
      <c r="P105" s="131">
        <f>10*12</f>
        <v>120</v>
      </c>
      <c r="Q105">
        <v>7</v>
      </c>
      <c r="R105" t="s">
        <v>1015</v>
      </c>
      <c r="S105" s="18">
        <v>0</v>
      </c>
      <c r="T105" s="18">
        <v>1</v>
      </c>
      <c r="U105" s="16">
        <v>1</v>
      </c>
      <c r="V105" s="16">
        <f>AVERAGE(4,5,5,6,6)</f>
        <v>5.2</v>
      </c>
      <c r="W105" s="16">
        <v>1</v>
      </c>
      <c r="X105" s="16">
        <f>AVERAGE(2,2,0,0,0,0,0,0,0,0)</f>
        <v>0.4</v>
      </c>
      <c r="Y105" s="16">
        <v>2</v>
      </c>
      <c r="Z105" s="16" t="s">
        <v>61</v>
      </c>
      <c r="AA105" s="16" t="s">
        <v>61</v>
      </c>
      <c r="AB105" s="16" t="s">
        <v>61</v>
      </c>
      <c r="AC105" s="20">
        <v>1</v>
      </c>
      <c r="AD105" s="136">
        <f>AVERAGE(1,1,1,0,0,0,0,0,0,0,0,0,0,0,0,0,0,0,0)</f>
        <v>0.15789473684210525</v>
      </c>
      <c r="AE105" s="20">
        <f>3/100*100</f>
        <v>3</v>
      </c>
      <c r="AF105" s="20">
        <v>5</v>
      </c>
      <c r="AG105" s="20" t="s">
        <v>61</v>
      </c>
      <c r="AH105" t="s">
        <v>61</v>
      </c>
      <c r="AI105" s="16">
        <v>1</v>
      </c>
      <c r="AJ105" s="16">
        <v>0</v>
      </c>
      <c r="AK105" s="16">
        <v>0</v>
      </c>
      <c r="AL105" s="137">
        <v>0</v>
      </c>
      <c r="AM105" s="137">
        <v>0</v>
      </c>
      <c r="AN105" s="16">
        <v>0</v>
      </c>
      <c r="AO105" s="16">
        <v>0</v>
      </c>
      <c r="AP105" s="16">
        <v>1</v>
      </c>
      <c r="AQ105" s="16">
        <v>0</v>
      </c>
      <c r="AR105" s="16">
        <v>0</v>
      </c>
      <c r="AS105" s="16">
        <v>0</v>
      </c>
    </row>
    <row r="106" spans="1:46">
      <c r="A106" t="s">
        <v>761</v>
      </c>
      <c r="B106" t="s">
        <v>144</v>
      </c>
      <c r="C106" t="s">
        <v>49</v>
      </c>
      <c r="D106" s="22" t="s">
        <v>943</v>
      </c>
      <c r="E106" s="22" t="s">
        <v>797</v>
      </c>
      <c r="F106" s="22" t="s">
        <v>883</v>
      </c>
      <c r="G106" s="22" t="s">
        <v>1016</v>
      </c>
      <c r="H106">
        <v>61</v>
      </c>
      <c r="J106" s="15">
        <v>42600</v>
      </c>
      <c r="K106">
        <v>-3.3608367000000001</v>
      </c>
      <c r="L106">
        <v>29.509126699999999</v>
      </c>
      <c r="M106">
        <v>1907</v>
      </c>
      <c r="N106" t="s">
        <v>64</v>
      </c>
      <c r="O106" t="s">
        <v>1017</v>
      </c>
      <c r="P106" s="131">
        <f>32*5</f>
        <v>160</v>
      </c>
      <c r="Q106">
        <v>5</v>
      </c>
      <c r="R106" t="s">
        <v>781</v>
      </c>
      <c r="S106" s="18">
        <v>1</v>
      </c>
      <c r="T106" s="18">
        <f>AVERAGE(3,1,1,1,1)</f>
        <v>1.4</v>
      </c>
      <c r="U106" s="16">
        <v>1</v>
      </c>
      <c r="V106" s="16">
        <f>AVERAGE(7,7,7,7,7)</f>
        <v>7</v>
      </c>
      <c r="W106" s="16">
        <v>0</v>
      </c>
      <c r="X106" s="16" t="s">
        <v>64</v>
      </c>
      <c r="Y106" s="16">
        <v>2</v>
      </c>
      <c r="Z106" s="16" t="s">
        <v>61</v>
      </c>
      <c r="AA106" s="16" t="s">
        <v>61</v>
      </c>
      <c r="AB106" s="16" t="s">
        <v>61</v>
      </c>
      <c r="AC106" s="20">
        <v>0</v>
      </c>
      <c r="AD106" s="20" t="s">
        <v>64</v>
      </c>
      <c r="AE106" s="16" t="s">
        <v>64</v>
      </c>
      <c r="AF106" s="20" t="s">
        <v>64</v>
      </c>
      <c r="AG106" s="20" t="s">
        <v>64</v>
      </c>
      <c r="AH106" t="s">
        <v>61</v>
      </c>
      <c r="AI106" s="16">
        <v>0</v>
      </c>
      <c r="AJ106" s="16" t="s">
        <v>64</v>
      </c>
      <c r="AK106" s="16" t="s">
        <v>64</v>
      </c>
      <c r="AL106" s="16" t="s">
        <v>64</v>
      </c>
      <c r="AM106" s="16" t="s">
        <v>64</v>
      </c>
      <c r="AN106" s="16" t="s">
        <v>64</v>
      </c>
      <c r="AO106" s="16" t="s">
        <v>64</v>
      </c>
      <c r="AP106" s="16">
        <v>0</v>
      </c>
      <c r="AQ106" s="127">
        <v>0</v>
      </c>
      <c r="AR106" s="16">
        <v>0</v>
      </c>
      <c r="AS106" s="16">
        <v>0</v>
      </c>
    </row>
    <row r="107" spans="1:46">
      <c r="A107" t="s">
        <v>761</v>
      </c>
      <c r="B107" t="s">
        <v>144</v>
      </c>
      <c r="C107" t="s">
        <v>49</v>
      </c>
      <c r="D107" s="22" t="s">
        <v>943</v>
      </c>
      <c r="E107" s="22" t="s">
        <v>797</v>
      </c>
      <c r="F107" s="22" t="s">
        <v>883</v>
      </c>
      <c r="G107" s="22" t="s">
        <v>1018</v>
      </c>
      <c r="H107">
        <v>62</v>
      </c>
      <c r="J107" s="15">
        <v>42600</v>
      </c>
      <c r="K107">
        <v>-3.3519564000000002</v>
      </c>
      <c r="L107">
        <v>29.523958199999999</v>
      </c>
      <c r="M107">
        <v>1994</v>
      </c>
      <c r="N107" t="s">
        <v>64</v>
      </c>
      <c r="O107" t="s">
        <v>1019</v>
      </c>
      <c r="P107" s="131">
        <f>34*18</f>
        <v>612</v>
      </c>
      <c r="Q107">
        <v>6</v>
      </c>
      <c r="R107" t="s">
        <v>781</v>
      </c>
      <c r="S107" s="18">
        <v>1</v>
      </c>
      <c r="T107" s="18">
        <f>AVERAGE(3,1,1,1,1)</f>
        <v>1.4</v>
      </c>
      <c r="U107" s="16">
        <v>1</v>
      </c>
      <c r="V107" s="16">
        <f>AVERAGE(4,4,6,6,6)</f>
        <v>5.2</v>
      </c>
      <c r="W107" s="16">
        <v>0</v>
      </c>
      <c r="X107" s="16" t="s">
        <v>64</v>
      </c>
      <c r="Y107" s="16">
        <v>2</v>
      </c>
      <c r="Z107" s="16" t="s">
        <v>621</v>
      </c>
      <c r="AA107" s="16" t="s">
        <v>61</v>
      </c>
      <c r="AB107" s="16" t="s">
        <v>61</v>
      </c>
      <c r="AC107" s="20">
        <v>0</v>
      </c>
      <c r="AD107" s="20" t="s">
        <v>64</v>
      </c>
      <c r="AE107" s="16" t="s">
        <v>64</v>
      </c>
      <c r="AF107" s="20" t="s">
        <v>64</v>
      </c>
      <c r="AG107" s="20" t="s">
        <v>64</v>
      </c>
      <c r="AH107" t="s">
        <v>61</v>
      </c>
      <c r="AI107" s="16">
        <v>0</v>
      </c>
      <c r="AJ107" s="16" t="s">
        <v>64</v>
      </c>
      <c r="AK107" s="16" t="s">
        <v>64</v>
      </c>
      <c r="AL107" s="16" t="s">
        <v>64</v>
      </c>
      <c r="AM107" s="16" t="s">
        <v>64</v>
      </c>
      <c r="AN107" s="16" t="s">
        <v>64</v>
      </c>
      <c r="AO107" s="16" t="s">
        <v>64</v>
      </c>
      <c r="AP107" s="16">
        <v>0</v>
      </c>
      <c r="AQ107" s="127">
        <v>0</v>
      </c>
      <c r="AR107" s="16">
        <v>0</v>
      </c>
      <c r="AS107" s="16">
        <v>0</v>
      </c>
    </row>
    <row r="108" spans="1:46">
      <c r="A108" t="s">
        <v>761</v>
      </c>
      <c r="B108" t="s">
        <v>144</v>
      </c>
      <c r="C108" t="s">
        <v>49</v>
      </c>
      <c r="D108" s="22" t="s">
        <v>78</v>
      </c>
      <c r="E108" s="22" t="s">
        <v>78</v>
      </c>
      <c r="F108" s="22" t="s">
        <v>169</v>
      </c>
      <c r="G108" s="22" t="s">
        <v>170</v>
      </c>
      <c r="H108">
        <v>63</v>
      </c>
      <c r="J108" s="15">
        <v>42600</v>
      </c>
      <c r="K108">
        <v>-3.3164511000000001</v>
      </c>
      <c r="L108">
        <v>29.549714999999999</v>
      </c>
      <c r="M108">
        <v>2192</v>
      </c>
      <c r="N108" t="s">
        <v>64</v>
      </c>
      <c r="O108" t="s">
        <v>1020</v>
      </c>
      <c r="P108" s="131">
        <f>19*62</f>
        <v>1178</v>
      </c>
      <c r="Q108">
        <v>5</v>
      </c>
      <c r="R108" t="s">
        <v>781</v>
      </c>
      <c r="S108" s="18">
        <v>1</v>
      </c>
      <c r="T108" s="18">
        <f>AVERAGE(4,4,4,3,3)</f>
        <v>3.6</v>
      </c>
      <c r="U108" s="16">
        <v>1</v>
      </c>
      <c r="V108" s="16">
        <f>AVERAGE(7,7,7,6,7)</f>
        <v>6.8</v>
      </c>
      <c r="W108" s="16">
        <v>0</v>
      </c>
      <c r="X108" s="16" t="s">
        <v>64</v>
      </c>
      <c r="Y108" s="16">
        <v>1</v>
      </c>
      <c r="Z108" s="16" t="s">
        <v>61</v>
      </c>
      <c r="AA108" s="16" t="s">
        <v>61</v>
      </c>
      <c r="AB108" s="16" t="s">
        <v>61</v>
      </c>
      <c r="AC108" s="20">
        <v>0</v>
      </c>
      <c r="AD108" s="20" t="s">
        <v>64</v>
      </c>
      <c r="AE108" s="16" t="s">
        <v>64</v>
      </c>
      <c r="AF108" s="20" t="s">
        <v>64</v>
      </c>
      <c r="AG108" s="20" t="s">
        <v>64</v>
      </c>
      <c r="AH108" t="s">
        <v>61</v>
      </c>
      <c r="AI108" s="16">
        <v>1</v>
      </c>
      <c r="AJ108" s="16" t="s">
        <v>64</v>
      </c>
      <c r="AK108" s="16">
        <v>1</v>
      </c>
      <c r="AL108" s="58">
        <v>0</v>
      </c>
      <c r="AM108" s="137">
        <v>0</v>
      </c>
      <c r="AN108" s="16">
        <v>0</v>
      </c>
      <c r="AO108" s="16">
        <v>0</v>
      </c>
      <c r="AP108" s="16">
        <v>0</v>
      </c>
      <c r="AQ108" s="127">
        <v>0</v>
      </c>
      <c r="AR108" s="16">
        <f>8/20*100</f>
        <v>40</v>
      </c>
      <c r="AS108" s="137">
        <f>AVERAGE(3,1,1,5,4,7,3,2)</f>
        <v>3.25</v>
      </c>
    </row>
    <row r="109" spans="1:46">
      <c r="A109" t="s">
        <v>761</v>
      </c>
      <c r="B109" t="s">
        <v>48</v>
      </c>
      <c r="C109" t="s">
        <v>260</v>
      </c>
      <c r="D109" t="s">
        <v>307</v>
      </c>
      <c r="E109" t="s">
        <v>534</v>
      </c>
      <c r="F109" t="s">
        <v>1021</v>
      </c>
      <c r="G109" t="s">
        <v>1022</v>
      </c>
      <c r="H109">
        <v>1</v>
      </c>
      <c r="J109" s="15">
        <v>42206</v>
      </c>
      <c r="K109">
        <v>-1.5547887</v>
      </c>
      <c r="L109">
        <v>29.6473236</v>
      </c>
      <c r="M109">
        <v>1654</v>
      </c>
      <c r="N109">
        <v>735559300</v>
      </c>
      <c r="O109" t="s">
        <v>1023</v>
      </c>
      <c r="P109" s="131">
        <f>50*20</f>
        <v>1000</v>
      </c>
      <c r="Q109">
        <v>2</v>
      </c>
      <c r="R109" t="s">
        <v>1024</v>
      </c>
      <c r="S109" s="18">
        <v>1</v>
      </c>
      <c r="T109" s="18">
        <f>AVERAGE(2,1,2,1,1)</f>
        <v>1.4</v>
      </c>
      <c r="U109" s="16">
        <v>1</v>
      </c>
      <c r="V109" s="16">
        <f>AVERAGE(3,2,4,2,3)</f>
        <v>2.8</v>
      </c>
      <c r="W109" s="16">
        <v>0</v>
      </c>
      <c r="X109" s="16" t="s">
        <v>64</v>
      </c>
      <c r="Y109" s="16">
        <v>0</v>
      </c>
      <c r="Z109" s="16" t="s">
        <v>795</v>
      </c>
      <c r="AA109" s="16" t="s">
        <v>766</v>
      </c>
      <c r="AB109" s="16" t="s">
        <v>766</v>
      </c>
      <c r="AC109" s="20">
        <v>0</v>
      </c>
      <c r="AD109" s="20" t="s">
        <v>64</v>
      </c>
      <c r="AE109" s="16" t="s">
        <v>64</v>
      </c>
      <c r="AF109" s="20" t="s">
        <v>64</v>
      </c>
      <c r="AG109" s="20" t="s">
        <v>64</v>
      </c>
      <c r="AH109" t="s">
        <v>61</v>
      </c>
      <c r="AI109" s="16">
        <v>0</v>
      </c>
      <c r="AJ109" s="16" t="s">
        <v>64</v>
      </c>
      <c r="AK109" s="16" t="s">
        <v>64</v>
      </c>
      <c r="AL109" s="16" t="s">
        <v>64</v>
      </c>
      <c r="AM109" s="16" t="s">
        <v>64</v>
      </c>
      <c r="AN109" s="16" t="s">
        <v>64</v>
      </c>
      <c r="AO109" s="16" t="s">
        <v>64</v>
      </c>
      <c r="AP109" s="16" t="s">
        <v>64</v>
      </c>
      <c r="AQ109" s="16" t="s">
        <v>64</v>
      </c>
      <c r="AR109" t="s">
        <v>64</v>
      </c>
      <c r="AS109" t="s">
        <v>64</v>
      </c>
      <c r="AT109" s="68"/>
    </row>
    <row r="110" spans="1:46">
      <c r="A110" t="s">
        <v>761</v>
      </c>
      <c r="B110" t="s">
        <v>48</v>
      </c>
      <c r="C110" t="s">
        <v>260</v>
      </c>
      <c r="D110" t="s">
        <v>380</v>
      </c>
      <c r="E110" t="s">
        <v>1025</v>
      </c>
      <c r="F110" t="s">
        <v>1026</v>
      </c>
      <c r="G110" t="s">
        <v>1027</v>
      </c>
      <c r="H110">
        <v>2</v>
      </c>
      <c r="J110" s="15">
        <v>42206</v>
      </c>
      <c r="K110">
        <v>-1.61324</v>
      </c>
      <c r="L110">
        <v>29.63063</v>
      </c>
      <c r="M110">
        <v>1809</v>
      </c>
      <c r="N110">
        <v>789792003</v>
      </c>
      <c r="O110" t="s">
        <v>1028</v>
      </c>
      <c r="P110" s="131">
        <f>4*18</f>
        <v>72</v>
      </c>
      <c r="Q110">
        <v>7</v>
      </c>
      <c r="R110" t="s">
        <v>1029</v>
      </c>
      <c r="S110" s="18">
        <v>1</v>
      </c>
      <c r="T110" s="18">
        <f>AVERAGE(1,1,2,1)</f>
        <v>1.25</v>
      </c>
      <c r="U110" s="16">
        <v>1</v>
      </c>
      <c r="V110" s="16">
        <f>AVERAGE(5,5,4,3)</f>
        <v>4.25</v>
      </c>
      <c r="W110" s="16">
        <v>0</v>
      </c>
      <c r="X110" s="16" t="s">
        <v>64</v>
      </c>
      <c r="Y110" s="16">
        <v>0</v>
      </c>
      <c r="Z110" s="16" t="s">
        <v>61</v>
      </c>
      <c r="AA110" s="16" t="s">
        <v>766</v>
      </c>
      <c r="AB110" s="16" t="s">
        <v>766</v>
      </c>
      <c r="AC110" s="20">
        <v>0</v>
      </c>
      <c r="AD110" s="20" t="s">
        <v>64</v>
      </c>
      <c r="AE110" s="16" t="s">
        <v>64</v>
      </c>
      <c r="AF110" s="20" t="s">
        <v>64</v>
      </c>
      <c r="AG110" s="20" t="s">
        <v>64</v>
      </c>
      <c r="AH110" t="s">
        <v>61</v>
      </c>
      <c r="AI110" s="16">
        <v>0</v>
      </c>
      <c r="AJ110" s="16" t="s">
        <v>64</v>
      </c>
      <c r="AK110" s="16" t="s">
        <v>64</v>
      </c>
      <c r="AL110" s="16" t="s">
        <v>64</v>
      </c>
      <c r="AM110" s="16" t="s">
        <v>64</v>
      </c>
      <c r="AN110" s="16" t="s">
        <v>64</v>
      </c>
      <c r="AO110" s="16" t="s">
        <v>64</v>
      </c>
      <c r="AP110" s="16" t="s">
        <v>64</v>
      </c>
      <c r="AQ110" s="16" t="s">
        <v>64</v>
      </c>
      <c r="AR110" t="s">
        <v>64</v>
      </c>
      <c r="AS110" t="s">
        <v>64</v>
      </c>
      <c r="AT110" s="68"/>
    </row>
    <row r="111" spans="1:46">
      <c r="A111" t="s">
        <v>761</v>
      </c>
      <c r="B111" t="s">
        <v>48</v>
      </c>
      <c r="C111" t="s">
        <v>260</v>
      </c>
      <c r="D111" t="s">
        <v>380</v>
      </c>
      <c r="E111" t="s">
        <v>1030</v>
      </c>
      <c r="F111" t="s">
        <v>1031</v>
      </c>
      <c r="G111" t="s">
        <v>1032</v>
      </c>
      <c r="H111">
        <v>3</v>
      </c>
      <c r="J111" s="15">
        <v>42206</v>
      </c>
      <c r="K111">
        <v>-1.6551899999999999</v>
      </c>
      <c r="L111">
        <v>29.634350000000001</v>
      </c>
      <c r="M111">
        <v>1480</v>
      </c>
      <c r="N111" t="s">
        <v>64</v>
      </c>
      <c r="O111" t="s">
        <v>1033</v>
      </c>
      <c r="P111" s="131">
        <f>20*10</f>
        <v>200</v>
      </c>
      <c r="Q111">
        <v>7</v>
      </c>
      <c r="R111" t="s">
        <v>1034</v>
      </c>
      <c r="S111" s="18">
        <v>1</v>
      </c>
      <c r="T111" s="18">
        <f>AVERAGE(2,2,2)</f>
        <v>2</v>
      </c>
      <c r="U111" s="16">
        <v>1</v>
      </c>
      <c r="V111" s="16">
        <f>AVERAGE(3,3,2)</f>
        <v>2.6666666666666665</v>
      </c>
      <c r="W111" s="16">
        <v>0</v>
      </c>
      <c r="X111" s="16" t="s">
        <v>64</v>
      </c>
      <c r="Y111" s="16">
        <v>0</v>
      </c>
      <c r="Z111" s="16" t="s">
        <v>61</v>
      </c>
      <c r="AA111" s="16" t="s">
        <v>766</v>
      </c>
      <c r="AB111" s="16" t="s">
        <v>766</v>
      </c>
      <c r="AC111" s="20">
        <v>0</v>
      </c>
      <c r="AD111" s="20" t="s">
        <v>64</v>
      </c>
      <c r="AE111" s="16" t="s">
        <v>64</v>
      </c>
      <c r="AF111" s="20" t="s">
        <v>64</v>
      </c>
      <c r="AG111" s="20" t="s">
        <v>64</v>
      </c>
      <c r="AH111" t="s">
        <v>61</v>
      </c>
      <c r="AI111" s="16">
        <v>0</v>
      </c>
      <c r="AJ111" s="16" t="s">
        <v>64</v>
      </c>
      <c r="AK111" s="16" t="s">
        <v>64</v>
      </c>
      <c r="AL111" s="16" t="s">
        <v>64</v>
      </c>
      <c r="AM111" s="16" t="s">
        <v>64</v>
      </c>
      <c r="AN111" s="16" t="s">
        <v>64</v>
      </c>
      <c r="AO111" s="16" t="s">
        <v>64</v>
      </c>
      <c r="AP111" s="16" t="s">
        <v>64</v>
      </c>
      <c r="AQ111" s="16" t="s">
        <v>64</v>
      </c>
      <c r="AR111" t="s">
        <v>64</v>
      </c>
      <c r="AS111" t="s">
        <v>64</v>
      </c>
      <c r="AT111" s="68"/>
    </row>
    <row r="112" spans="1:46">
      <c r="A112" t="s">
        <v>761</v>
      </c>
      <c r="B112" t="s">
        <v>48</v>
      </c>
      <c r="C112" t="s">
        <v>260</v>
      </c>
      <c r="D112" t="s">
        <v>380</v>
      </c>
      <c r="E112" t="s">
        <v>1030</v>
      </c>
      <c r="F112" t="s">
        <v>1035</v>
      </c>
      <c r="G112" t="s">
        <v>1036</v>
      </c>
      <c r="H112">
        <v>4</v>
      </c>
      <c r="J112" s="15">
        <v>42206</v>
      </c>
      <c r="K112">
        <v>-1.7129099999999999</v>
      </c>
      <c r="L112">
        <v>29.633939999999999</v>
      </c>
      <c r="M112">
        <v>1427</v>
      </c>
      <c r="N112">
        <v>782105240</v>
      </c>
      <c r="O112" t="s">
        <v>1037</v>
      </c>
      <c r="P112" s="131">
        <f>40*4</f>
        <v>160</v>
      </c>
      <c r="Q112">
        <v>4</v>
      </c>
      <c r="R112" t="s">
        <v>1038</v>
      </c>
      <c r="S112" s="18">
        <v>1</v>
      </c>
      <c r="T112" s="18">
        <f>AVERAGE(2,2,2)</f>
        <v>2</v>
      </c>
      <c r="U112" s="16">
        <v>1</v>
      </c>
      <c r="V112" s="16">
        <f>AVERAGE(3,3,2)</f>
        <v>2.6666666666666665</v>
      </c>
      <c r="W112" s="16">
        <v>0</v>
      </c>
      <c r="X112" s="16" t="s">
        <v>64</v>
      </c>
      <c r="Y112" s="16">
        <v>0</v>
      </c>
      <c r="Z112" s="16" t="s">
        <v>61</v>
      </c>
      <c r="AA112" s="16" t="s">
        <v>766</v>
      </c>
      <c r="AB112" s="16" t="s">
        <v>766</v>
      </c>
      <c r="AC112" s="20">
        <v>0</v>
      </c>
      <c r="AD112" s="20" t="s">
        <v>64</v>
      </c>
      <c r="AE112" s="16" t="s">
        <v>64</v>
      </c>
      <c r="AF112" s="20" t="s">
        <v>64</v>
      </c>
      <c r="AG112" s="20" t="s">
        <v>64</v>
      </c>
      <c r="AH112" t="s">
        <v>61</v>
      </c>
      <c r="AI112" s="16">
        <v>0</v>
      </c>
      <c r="AJ112" s="16" t="s">
        <v>64</v>
      </c>
      <c r="AK112" s="16" t="s">
        <v>64</v>
      </c>
      <c r="AL112" s="16" t="s">
        <v>64</v>
      </c>
      <c r="AM112" s="16" t="s">
        <v>64</v>
      </c>
      <c r="AN112" s="16" t="s">
        <v>64</v>
      </c>
      <c r="AO112" s="16" t="s">
        <v>64</v>
      </c>
      <c r="AP112" s="16" t="s">
        <v>64</v>
      </c>
      <c r="AQ112" s="16" t="s">
        <v>64</v>
      </c>
      <c r="AR112" t="s">
        <v>64</v>
      </c>
      <c r="AS112" t="s">
        <v>64</v>
      </c>
      <c r="AT112" s="68"/>
    </row>
    <row r="113" spans="1:48">
      <c r="A113" t="s">
        <v>761</v>
      </c>
      <c r="B113" t="s">
        <v>48</v>
      </c>
      <c r="C113" t="s">
        <v>260</v>
      </c>
      <c r="D113" t="s">
        <v>261</v>
      </c>
      <c r="E113" t="s">
        <v>1039</v>
      </c>
      <c r="F113" t="s">
        <v>1040</v>
      </c>
      <c r="G113" t="s">
        <v>1041</v>
      </c>
      <c r="H113">
        <v>5</v>
      </c>
      <c r="J113" s="15">
        <v>42207</v>
      </c>
      <c r="K113">
        <v>-1.5277799999999999</v>
      </c>
      <c r="L113">
        <v>29.663399999999999</v>
      </c>
      <c r="M113">
        <v>1615</v>
      </c>
      <c r="N113" t="s">
        <v>64</v>
      </c>
      <c r="O113" t="s">
        <v>1042</v>
      </c>
      <c r="P113" s="131">
        <f>15*30</f>
        <v>450</v>
      </c>
      <c r="Q113">
        <v>6</v>
      </c>
      <c r="R113" t="s">
        <v>1043</v>
      </c>
      <c r="S113" s="18">
        <v>1</v>
      </c>
      <c r="T113" s="18">
        <f>AVERAGE(2,2,2,3,3)</f>
        <v>2.4</v>
      </c>
      <c r="U113" s="16">
        <v>1</v>
      </c>
      <c r="V113" s="16">
        <f>AVERAGE(5,4,4,6,7)</f>
        <v>5.2</v>
      </c>
      <c r="W113" s="16">
        <v>0</v>
      </c>
      <c r="X113" s="16" t="s">
        <v>64</v>
      </c>
      <c r="Y113" s="16">
        <v>0</v>
      </c>
      <c r="Z113" s="16" t="s">
        <v>61</v>
      </c>
      <c r="AA113" s="16" t="s">
        <v>766</v>
      </c>
      <c r="AB113" s="16" t="s">
        <v>766</v>
      </c>
      <c r="AC113" s="20">
        <v>0</v>
      </c>
      <c r="AD113" s="20" t="s">
        <v>64</v>
      </c>
      <c r="AE113" s="16" t="s">
        <v>64</v>
      </c>
      <c r="AF113" s="20" t="s">
        <v>64</v>
      </c>
      <c r="AG113" s="20" t="s">
        <v>64</v>
      </c>
      <c r="AH113" t="s">
        <v>61</v>
      </c>
      <c r="AI113" s="16">
        <v>0</v>
      </c>
      <c r="AJ113" s="16" t="s">
        <v>64</v>
      </c>
      <c r="AK113" s="16" t="s">
        <v>64</v>
      </c>
      <c r="AL113" s="16" t="s">
        <v>64</v>
      </c>
      <c r="AM113" s="16" t="s">
        <v>64</v>
      </c>
      <c r="AN113" s="16" t="s">
        <v>64</v>
      </c>
      <c r="AO113" s="16" t="s">
        <v>64</v>
      </c>
      <c r="AP113" s="16" t="s">
        <v>64</v>
      </c>
      <c r="AQ113" s="16" t="s">
        <v>64</v>
      </c>
      <c r="AR113" t="s">
        <v>64</v>
      </c>
      <c r="AS113" t="s">
        <v>64</v>
      </c>
      <c r="AT113" s="68"/>
    </row>
    <row r="114" spans="1:48">
      <c r="A114" t="s">
        <v>761</v>
      </c>
      <c r="B114" t="s">
        <v>48</v>
      </c>
      <c r="C114" t="s">
        <v>260</v>
      </c>
      <c r="D114" t="s">
        <v>261</v>
      </c>
      <c r="E114" t="s">
        <v>534</v>
      </c>
      <c r="F114" t="s">
        <v>535</v>
      </c>
      <c r="G114" t="s">
        <v>1044</v>
      </c>
      <c r="H114">
        <v>6</v>
      </c>
      <c r="J114" s="15">
        <v>42207</v>
      </c>
      <c r="K114">
        <v>-1.5649344999999999</v>
      </c>
      <c r="L114">
        <v>29.677534099999999</v>
      </c>
      <c r="M114">
        <v>1712</v>
      </c>
      <c r="N114" t="s">
        <v>64</v>
      </c>
      <c r="O114" t="s">
        <v>1045</v>
      </c>
      <c r="P114" s="131" t="s">
        <v>64</v>
      </c>
      <c r="Q114">
        <v>5</v>
      </c>
      <c r="R114" t="s">
        <v>1046</v>
      </c>
      <c r="S114" s="18">
        <v>1</v>
      </c>
      <c r="T114" s="18">
        <f>AVERAGE(2,2,3,2,2)</f>
        <v>2.2000000000000002</v>
      </c>
      <c r="U114" s="16">
        <v>1</v>
      </c>
      <c r="V114" s="16">
        <f>AVERAGE(4,3,4,6,5)</f>
        <v>4.4000000000000004</v>
      </c>
      <c r="W114" s="16">
        <v>0</v>
      </c>
      <c r="X114" s="16" t="s">
        <v>64</v>
      </c>
      <c r="Y114" s="16">
        <v>3</v>
      </c>
      <c r="Z114" s="16" t="s">
        <v>61</v>
      </c>
      <c r="AA114" s="16" t="s">
        <v>766</v>
      </c>
      <c r="AB114" s="16" t="s">
        <v>766</v>
      </c>
      <c r="AC114" s="20">
        <v>0</v>
      </c>
      <c r="AD114" s="20" t="s">
        <v>64</v>
      </c>
      <c r="AE114" s="16" t="s">
        <v>64</v>
      </c>
      <c r="AF114" s="20" t="s">
        <v>64</v>
      </c>
      <c r="AG114" s="20" t="s">
        <v>64</v>
      </c>
      <c r="AH114" s="26" t="s">
        <v>76</v>
      </c>
      <c r="AI114" s="16">
        <v>0</v>
      </c>
      <c r="AJ114" s="16" t="s">
        <v>64</v>
      </c>
      <c r="AK114" s="16" t="s">
        <v>64</v>
      </c>
      <c r="AL114" s="16" t="s">
        <v>64</v>
      </c>
      <c r="AM114" s="16" t="s">
        <v>64</v>
      </c>
      <c r="AN114" s="16" t="s">
        <v>64</v>
      </c>
      <c r="AO114" s="16" t="s">
        <v>64</v>
      </c>
      <c r="AP114" s="16" t="s">
        <v>64</v>
      </c>
      <c r="AQ114" s="16" t="s">
        <v>64</v>
      </c>
      <c r="AR114" t="s">
        <v>64</v>
      </c>
      <c r="AS114" t="s">
        <v>64</v>
      </c>
      <c r="AT114" s="68"/>
    </row>
    <row r="115" spans="1:48">
      <c r="A115" t="s">
        <v>761</v>
      </c>
      <c r="B115" t="s">
        <v>48</v>
      </c>
      <c r="C115" t="s">
        <v>260</v>
      </c>
      <c r="D115" t="s">
        <v>540</v>
      </c>
      <c r="E115" t="s">
        <v>1047</v>
      </c>
      <c r="F115" t="s">
        <v>1048</v>
      </c>
      <c r="G115" t="s">
        <v>1049</v>
      </c>
      <c r="H115">
        <v>7</v>
      </c>
      <c r="J115" s="15">
        <v>42207</v>
      </c>
      <c r="K115">
        <v>-1.5948857000000001</v>
      </c>
      <c r="L115">
        <v>29.686021799999999</v>
      </c>
      <c r="M115">
        <v>1730</v>
      </c>
      <c r="N115">
        <v>783171930</v>
      </c>
      <c r="O115" t="s">
        <v>1050</v>
      </c>
      <c r="P115" s="131">
        <f>15*10</f>
        <v>150</v>
      </c>
      <c r="Q115">
        <v>3</v>
      </c>
      <c r="R115" t="s">
        <v>1051</v>
      </c>
      <c r="S115" s="18">
        <v>1</v>
      </c>
      <c r="T115" s="129">
        <f>AVERAGE(2,3,2,2)</f>
        <v>2.25</v>
      </c>
      <c r="U115" s="16">
        <v>1</v>
      </c>
      <c r="V115" s="16">
        <f>AVERAGE(2,2,3,4)</f>
        <v>2.75</v>
      </c>
      <c r="W115" s="16">
        <v>0</v>
      </c>
      <c r="X115" s="16" t="s">
        <v>64</v>
      </c>
      <c r="Y115" s="16">
        <v>2</v>
      </c>
      <c r="Z115" s="16" t="s">
        <v>160</v>
      </c>
      <c r="AA115" s="16" t="s">
        <v>766</v>
      </c>
      <c r="AB115" s="16" t="s">
        <v>766</v>
      </c>
      <c r="AC115" s="20">
        <v>0</v>
      </c>
      <c r="AD115" s="20" t="s">
        <v>64</v>
      </c>
      <c r="AE115" s="16" t="s">
        <v>64</v>
      </c>
      <c r="AF115" s="20" t="s">
        <v>64</v>
      </c>
      <c r="AG115" s="20" t="s">
        <v>64</v>
      </c>
      <c r="AH115" s="26" t="s">
        <v>76</v>
      </c>
      <c r="AI115" s="16">
        <v>1</v>
      </c>
      <c r="AJ115" s="137">
        <f>4/15*100</f>
        <v>26.666666666666668</v>
      </c>
      <c r="AK115" s="16">
        <v>2</v>
      </c>
      <c r="AL115" s="137">
        <f>4/26*100</f>
        <v>15.384615384615385</v>
      </c>
      <c r="AM115" s="137">
        <f>0.35/1.38*100</f>
        <v>25.362318840579711</v>
      </c>
      <c r="AN115" s="62">
        <v>9</v>
      </c>
      <c r="AO115" s="16">
        <v>0</v>
      </c>
      <c r="AP115" s="16" t="s">
        <v>64</v>
      </c>
      <c r="AQ115" s="16" t="s">
        <v>64</v>
      </c>
      <c r="AR115" t="s">
        <v>64</v>
      </c>
      <c r="AS115" t="s">
        <v>64</v>
      </c>
      <c r="AT115" s="68"/>
    </row>
    <row r="116" spans="1:48">
      <c r="A116" t="s">
        <v>761</v>
      </c>
      <c r="B116" t="s">
        <v>48</v>
      </c>
      <c r="C116" t="s">
        <v>260</v>
      </c>
      <c r="D116" t="s">
        <v>540</v>
      </c>
      <c r="E116" t="s">
        <v>1052</v>
      </c>
      <c r="F116" t="s">
        <v>1053</v>
      </c>
      <c r="G116" t="s">
        <v>549</v>
      </c>
      <c r="H116">
        <v>8</v>
      </c>
      <c r="J116" s="15">
        <v>42207</v>
      </c>
      <c r="K116">
        <v>-1.6404901000000001</v>
      </c>
      <c r="L116">
        <v>29.6722374</v>
      </c>
      <c r="M116">
        <v>1699</v>
      </c>
      <c r="N116" t="s">
        <v>64</v>
      </c>
      <c r="O116" t="s">
        <v>1054</v>
      </c>
      <c r="P116" s="131">
        <f>7*50</f>
        <v>350</v>
      </c>
      <c r="Q116">
        <v>3</v>
      </c>
      <c r="R116" t="s">
        <v>1046</v>
      </c>
      <c r="S116" s="18">
        <v>1</v>
      </c>
      <c r="T116" s="18">
        <f>AVERAGE(2)</f>
        <v>2</v>
      </c>
      <c r="U116" s="16">
        <v>1</v>
      </c>
      <c r="V116" s="16">
        <f>AVERAGE(2,2,3,2,2)</f>
        <v>2.2000000000000002</v>
      </c>
      <c r="W116" s="16">
        <v>0</v>
      </c>
      <c r="X116" s="16" t="s">
        <v>64</v>
      </c>
      <c r="Y116" s="16">
        <v>3</v>
      </c>
      <c r="Z116" s="16" t="s">
        <v>782</v>
      </c>
      <c r="AA116" s="16" t="s">
        <v>766</v>
      </c>
      <c r="AB116" s="16" t="s">
        <v>766</v>
      </c>
      <c r="AC116" s="20">
        <v>0</v>
      </c>
      <c r="AD116" s="20" t="s">
        <v>64</v>
      </c>
      <c r="AE116" s="16" t="s">
        <v>64</v>
      </c>
      <c r="AF116" s="20" t="s">
        <v>64</v>
      </c>
      <c r="AG116" s="20" t="s">
        <v>64</v>
      </c>
      <c r="AH116" t="s">
        <v>61</v>
      </c>
      <c r="AI116" s="16">
        <v>1</v>
      </c>
      <c r="AJ116" s="16">
        <f>1/15*100</f>
        <v>6.666666666666667</v>
      </c>
      <c r="AK116" s="16">
        <v>2</v>
      </c>
      <c r="AL116" s="137">
        <v>0</v>
      </c>
      <c r="AM116" s="137">
        <v>0</v>
      </c>
      <c r="AN116" s="62">
        <v>0</v>
      </c>
      <c r="AO116" s="62">
        <v>0</v>
      </c>
      <c r="AP116" s="16" t="s">
        <v>64</v>
      </c>
      <c r="AQ116" s="16" t="s">
        <v>64</v>
      </c>
      <c r="AR116" t="s">
        <v>64</v>
      </c>
      <c r="AS116" t="s">
        <v>64</v>
      </c>
      <c r="AT116" s="68"/>
    </row>
    <row r="117" spans="1:48">
      <c r="A117" t="s">
        <v>761</v>
      </c>
      <c r="B117" t="s">
        <v>48</v>
      </c>
      <c r="C117" t="s">
        <v>260</v>
      </c>
      <c r="D117" t="s">
        <v>540</v>
      </c>
      <c r="E117" t="s">
        <v>591</v>
      </c>
      <c r="F117" t="s">
        <v>1055</v>
      </c>
      <c r="G117" t="s">
        <v>1056</v>
      </c>
      <c r="H117">
        <v>9</v>
      </c>
      <c r="J117" s="15">
        <v>42207</v>
      </c>
      <c r="K117">
        <v>-1.6899900000000001</v>
      </c>
      <c r="L117">
        <v>29.6692657</v>
      </c>
      <c r="M117">
        <v>1592</v>
      </c>
      <c r="N117" t="s">
        <v>64</v>
      </c>
      <c r="O117" t="s">
        <v>1057</v>
      </c>
      <c r="P117" s="131">
        <f>10*20</f>
        <v>200</v>
      </c>
      <c r="Q117">
        <v>4</v>
      </c>
      <c r="R117" t="s">
        <v>1046</v>
      </c>
      <c r="S117" s="18">
        <v>1</v>
      </c>
      <c r="T117" s="129">
        <f>AVERAGE(1,2,2)</f>
        <v>1.6666666666666667</v>
      </c>
      <c r="U117" s="16">
        <v>1</v>
      </c>
      <c r="V117" s="16">
        <f>AVERAGE(2,2,3)</f>
        <v>2.3333333333333335</v>
      </c>
      <c r="W117" s="16">
        <v>0</v>
      </c>
      <c r="X117" s="16" t="s">
        <v>64</v>
      </c>
      <c r="Y117" s="16">
        <v>2</v>
      </c>
      <c r="Z117" s="16" t="s">
        <v>61</v>
      </c>
      <c r="AA117" s="16" t="s">
        <v>766</v>
      </c>
      <c r="AB117" s="16" t="s">
        <v>766</v>
      </c>
      <c r="AC117" s="20">
        <v>0</v>
      </c>
      <c r="AD117" s="20" t="s">
        <v>64</v>
      </c>
      <c r="AE117" s="16" t="s">
        <v>64</v>
      </c>
      <c r="AF117" s="20" t="s">
        <v>64</v>
      </c>
      <c r="AG117" s="20" t="s">
        <v>64</v>
      </c>
      <c r="AH117" t="s">
        <v>61</v>
      </c>
      <c r="AI117" s="16">
        <v>0</v>
      </c>
      <c r="AJ117" s="16" t="s">
        <v>64</v>
      </c>
      <c r="AK117" s="16" t="s">
        <v>64</v>
      </c>
      <c r="AL117" s="16" t="s">
        <v>64</v>
      </c>
      <c r="AM117" s="16" t="s">
        <v>64</v>
      </c>
      <c r="AN117" s="16" t="s">
        <v>64</v>
      </c>
      <c r="AO117" s="16" t="s">
        <v>64</v>
      </c>
      <c r="AP117" s="16" t="s">
        <v>64</v>
      </c>
      <c r="AQ117" s="16" t="s">
        <v>64</v>
      </c>
      <c r="AR117" t="s">
        <v>64</v>
      </c>
      <c r="AS117" t="s">
        <v>64</v>
      </c>
      <c r="AT117" s="68"/>
    </row>
    <row r="118" spans="1:48">
      <c r="A118" t="s">
        <v>761</v>
      </c>
      <c r="B118" t="s">
        <v>48</v>
      </c>
      <c r="C118" t="s">
        <v>260</v>
      </c>
      <c r="D118" t="s">
        <v>307</v>
      </c>
      <c r="E118" t="s">
        <v>552</v>
      </c>
      <c r="F118" t="s">
        <v>553</v>
      </c>
      <c r="G118" t="s">
        <v>1058</v>
      </c>
      <c r="H118">
        <v>10</v>
      </c>
      <c r="J118" s="15">
        <v>42208</v>
      </c>
      <c r="K118">
        <v>-1.4676815000000001</v>
      </c>
      <c r="L118">
        <v>29.715133699999999</v>
      </c>
      <c r="M118">
        <v>1837</v>
      </c>
      <c r="N118" t="s">
        <v>64</v>
      </c>
      <c r="O118" t="s">
        <v>1059</v>
      </c>
      <c r="P118" s="131">
        <f>50*50</f>
        <v>2500</v>
      </c>
      <c r="Q118">
        <v>4</v>
      </c>
      <c r="R118" t="s">
        <v>1060</v>
      </c>
      <c r="S118" s="18">
        <v>1</v>
      </c>
      <c r="T118" s="18">
        <f>AVERAGE(2,2,2,3,2)</f>
        <v>2.2000000000000002</v>
      </c>
      <c r="U118" s="16">
        <v>1</v>
      </c>
      <c r="V118" s="16">
        <f>AVERAGE(4,5,3,4,7)</f>
        <v>4.5999999999999996</v>
      </c>
      <c r="W118" s="16">
        <v>0</v>
      </c>
      <c r="X118" s="16" t="s">
        <v>64</v>
      </c>
      <c r="Y118" s="16">
        <v>4</v>
      </c>
      <c r="Z118" s="16" t="s">
        <v>61</v>
      </c>
      <c r="AA118" s="16" t="s">
        <v>766</v>
      </c>
      <c r="AB118" s="16" t="s">
        <v>766</v>
      </c>
      <c r="AC118" s="20">
        <v>0</v>
      </c>
      <c r="AD118" s="20" t="s">
        <v>64</v>
      </c>
      <c r="AE118" s="16" t="s">
        <v>64</v>
      </c>
      <c r="AF118" s="20" t="s">
        <v>64</v>
      </c>
      <c r="AG118" s="20" t="s">
        <v>64</v>
      </c>
      <c r="AH118" s="26" t="s">
        <v>76</v>
      </c>
      <c r="AI118" s="16">
        <v>0</v>
      </c>
      <c r="AJ118" s="16" t="s">
        <v>64</v>
      </c>
      <c r="AK118" s="16" t="s">
        <v>64</v>
      </c>
      <c r="AL118" s="16" t="s">
        <v>64</v>
      </c>
      <c r="AM118" s="16" t="s">
        <v>64</v>
      </c>
      <c r="AN118" s="16" t="s">
        <v>64</v>
      </c>
      <c r="AO118" s="16" t="s">
        <v>64</v>
      </c>
      <c r="AP118" s="16" t="s">
        <v>64</v>
      </c>
      <c r="AQ118" s="16" t="s">
        <v>64</v>
      </c>
      <c r="AR118" t="s">
        <v>64</v>
      </c>
      <c r="AS118" t="s">
        <v>64</v>
      </c>
      <c r="AT118" s="68"/>
      <c r="AU118" s="16"/>
      <c r="AV118" s="16"/>
    </row>
    <row r="119" spans="1:48">
      <c r="A119" t="s">
        <v>761</v>
      </c>
      <c r="B119" t="s">
        <v>48</v>
      </c>
      <c r="C119" t="s">
        <v>260</v>
      </c>
      <c r="D119" t="s">
        <v>307</v>
      </c>
      <c r="E119" t="s">
        <v>372</v>
      </c>
      <c r="F119" t="s">
        <v>585</v>
      </c>
      <c r="G119" t="s">
        <v>1061</v>
      </c>
      <c r="H119">
        <v>11</v>
      </c>
      <c r="J119" s="15">
        <v>42208</v>
      </c>
      <c r="K119">
        <v>-1.4940781999999999</v>
      </c>
      <c r="L119">
        <v>29.762207</v>
      </c>
      <c r="M119">
        <v>1841</v>
      </c>
      <c r="N119">
        <v>786867477</v>
      </c>
      <c r="O119" t="s">
        <v>1062</v>
      </c>
      <c r="P119" s="131">
        <f>35*15</f>
        <v>525</v>
      </c>
      <c r="Q119">
        <v>5</v>
      </c>
      <c r="R119" t="s">
        <v>1063</v>
      </c>
      <c r="S119" s="18">
        <v>1</v>
      </c>
      <c r="T119" s="18">
        <f>AVERAGE(2,2,3,3,2)</f>
        <v>2.4</v>
      </c>
      <c r="U119" s="16">
        <v>1</v>
      </c>
      <c r="V119" s="18">
        <f>AVERAGE(2,3,4,4,3)</f>
        <v>3.2</v>
      </c>
      <c r="W119" s="16">
        <v>0</v>
      </c>
      <c r="X119" s="16" t="s">
        <v>64</v>
      </c>
      <c r="Y119" s="16">
        <v>1</v>
      </c>
      <c r="Z119" s="16" t="s">
        <v>782</v>
      </c>
      <c r="AA119" s="16" t="s">
        <v>766</v>
      </c>
      <c r="AB119" s="16" t="s">
        <v>766</v>
      </c>
      <c r="AC119" s="20">
        <v>0</v>
      </c>
      <c r="AD119" s="20" t="s">
        <v>64</v>
      </c>
      <c r="AE119" s="16" t="s">
        <v>64</v>
      </c>
      <c r="AF119" s="20" t="s">
        <v>64</v>
      </c>
      <c r="AG119" s="20" t="s">
        <v>64</v>
      </c>
      <c r="AH119" s="26" t="s">
        <v>76</v>
      </c>
      <c r="AI119" s="16">
        <v>1</v>
      </c>
      <c r="AJ119" s="16">
        <v>0</v>
      </c>
      <c r="AK119" s="16">
        <v>0</v>
      </c>
      <c r="AL119" s="137">
        <f>1/61*100</f>
        <v>1.639344262295082</v>
      </c>
      <c r="AM119" s="137">
        <f>0.08/2.05*100</f>
        <v>3.9024390243902447</v>
      </c>
      <c r="AN119" s="62">
        <v>40</v>
      </c>
      <c r="AO119" s="62">
        <v>0</v>
      </c>
      <c r="AP119" s="16" t="s">
        <v>64</v>
      </c>
      <c r="AQ119" s="16" t="s">
        <v>64</v>
      </c>
      <c r="AR119" t="s">
        <v>64</v>
      </c>
      <c r="AS119" t="s">
        <v>64</v>
      </c>
      <c r="AT119" s="68"/>
    </row>
    <row r="120" spans="1:48">
      <c r="A120" t="s">
        <v>761</v>
      </c>
      <c r="B120" t="s">
        <v>48</v>
      </c>
      <c r="C120" t="s">
        <v>260</v>
      </c>
      <c r="D120" t="s">
        <v>307</v>
      </c>
      <c r="E120" t="s">
        <v>372</v>
      </c>
      <c r="F120" t="s">
        <v>1064</v>
      </c>
      <c r="G120" t="s">
        <v>1065</v>
      </c>
      <c r="H120">
        <v>12</v>
      </c>
      <c r="J120" s="15">
        <v>42208</v>
      </c>
      <c r="K120">
        <v>-1.5252144000000001</v>
      </c>
      <c r="L120">
        <v>29.783323299999999</v>
      </c>
      <c r="M120">
        <v>1884</v>
      </c>
      <c r="N120">
        <v>784331125</v>
      </c>
      <c r="O120" t="s">
        <v>1066</v>
      </c>
      <c r="P120" s="131" t="s">
        <v>64</v>
      </c>
      <c r="Q120" t="s">
        <v>64</v>
      </c>
      <c r="R120" t="s">
        <v>1067</v>
      </c>
      <c r="S120" s="18">
        <v>1</v>
      </c>
      <c r="T120" s="18">
        <f>AVERAGE(3,3,2,2,2)</f>
        <v>2.4</v>
      </c>
      <c r="U120" s="16">
        <v>1</v>
      </c>
      <c r="V120" s="16">
        <f>AVERAGE(3,3,2,2,3)</f>
        <v>2.6</v>
      </c>
      <c r="W120" s="16">
        <v>0</v>
      </c>
      <c r="X120" s="16" t="s">
        <v>64</v>
      </c>
      <c r="Y120" s="16">
        <v>0</v>
      </c>
      <c r="Z120" s="16" t="s">
        <v>61</v>
      </c>
      <c r="AA120" s="16" t="s">
        <v>766</v>
      </c>
      <c r="AB120" s="16" t="s">
        <v>766</v>
      </c>
      <c r="AC120" s="20">
        <v>0</v>
      </c>
      <c r="AD120" s="20" t="s">
        <v>64</v>
      </c>
      <c r="AE120" s="16" t="s">
        <v>64</v>
      </c>
      <c r="AF120" s="20" t="s">
        <v>64</v>
      </c>
      <c r="AG120" s="20" t="s">
        <v>64</v>
      </c>
      <c r="AH120" s="26" t="s">
        <v>76</v>
      </c>
      <c r="AI120" s="16">
        <v>1</v>
      </c>
      <c r="AJ120" s="137">
        <f>4/15*100</f>
        <v>26.666666666666668</v>
      </c>
      <c r="AK120" s="16">
        <v>3</v>
      </c>
      <c r="AL120" s="137">
        <v>0</v>
      </c>
      <c r="AM120" s="137">
        <v>0</v>
      </c>
      <c r="AN120" s="62">
        <v>0</v>
      </c>
      <c r="AO120" s="62">
        <v>0</v>
      </c>
      <c r="AP120" s="16" t="s">
        <v>64</v>
      </c>
      <c r="AQ120" s="16" t="s">
        <v>64</v>
      </c>
      <c r="AR120" t="s">
        <v>64</v>
      </c>
      <c r="AS120" t="s">
        <v>64</v>
      </c>
      <c r="AT120" s="68"/>
    </row>
    <row r="121" spans="1:48">
      <c r="A121" t="s">
        <v>761</v>
      </c>
      <c r="B121" t="s">
        <v>48</v>
      </c>
      <c r="C121" t="s">
        <v>260</v>
      </c>
      <c r="D121" s="21" t="s">
        <v>307</v>
      </c>
      <c r="E121" t="s">
        <v>1068</v>
      </c>
      <c r="F121" t="s">
        <v>1069</v>
      </c>
      <c r="G121" t="s">
        <v>1070</v>
      </c>
      <c r="H121">
        <v>13</v>
      </c>
      <c r="J121" s="15">
        <v>42208</v>
      </c>
      <c r="K121">
        <v>-1.5334421</v>
      </c>
      <c r="L121">
        <v>29.8011856</v>
      </c>
      <c r="M121">
        <v>2155</v>
      </c>
      <c r="N121" t="s">
        <v>64</v>
      </c>
      <c r="O121" t="s">
        <v>1071</v>
      </c>
      <c r="P121" s="131" t="s">
        <v>64</v>
      </c>
      <c r="Q121" t="s">
        <v>64</v>
      </c>
      <c r="R121" t="s">
        <v>1072</v>
      </c>
      <c r="S121" s="18">
        <v>1</v>
      </c>
      <c r="T121" s="18">
        <f>AVERAGE(3,2,1,1,1)</f>
        <v>1.6</v>
      </c>
      <c r="U121" s="16">
        <v>1</v>
      </c>
      <c r="V121" s="16">
        <f>AVERAGE(3,3,2,2,2)</f>
        <v>2.4</v>
      </c>
      <c r="W121" s="16">
        <v>0</v>
      </c>
      <c r="X121" s="16" t="s">
        <v>64</v>
      </c>
      <c r="Y121" s="16">
        <v>0</v>
      </c>
      <c r="Z121" s="16" t="s">
        <v>61</v>
      </c>
      <c r="AA121" s="16" t="s">
        <v>766</v>
      </c>
      <c r="AB121" s="16" t="s">
        <v>766</v>
      </c>
      <c r="AC121" s="20">
        <v>0</v>
      </c>
      <c r="AD121" s="20" t="s">
        <v>64</v>
      </c>
      <c r="AE121" s="16" t="s">
        <v>64</v>
      </c>
      <c r="AF121" s="20" t="s">
        <v>64</v>
      </c>
      <c r="AG121" s="20" t="s">
        <v>64</v>
      </c>
      <c r="AH121" t="s">
        <v>61</v>
      </c>
      <c r="AI121" s="16">
        <v>0</v>
      </c>
      <c r="AJ121" s="16" t="s">
        <v>64</v>
      </c>
      <c r="AK121" s="16" t="s">
        <v>64</v>
      </c>
      <c r="AL121" s="16" t="s">
        <v>64</v>
      </c>
      <c r="AM121" s="16" t="s">
        <v>64</v>
      </c>
      <c r="AN121" s="16" t="s">
        <v>64</v>
      </c>
      <c r="AO121" s="16" t="s">
        <v>64</v>
      </c>
      <c r="AP121" s="16" t="s">
        <v>64</v>
      </c>
      <c r="AQ121" s="16" t="s">
        <v>64</v>
      </c>
      <c r="AR121" t="s">
        <v>64</v>
      </c>
      <c r="AS121" t="s">
        <v>64</v>
      </c>
      <c r="AT121" s="68"/>
    </row>
    <row r="122" spans="1:48">
      <c r="A122" t="s">
        <v>761</v>
      </c>
      <c r="B122" t="s">
        <v>48</v>
      </c>
      <c r="C122" t="s">
        <v>260</v>
      </c>
      <c r="D122" t="s">
        <v>307</v>
      </c>
      <c r="E122" t="s">
        <v>1068</v>
      </c>
      <c r="F122" t="s">
        <v>1073</v>
      </c>
      <c r="G122" t="s">
        <v>1074</v>
      </c>
      <c r="H122">
        <v>14</v>
      </c>
      <c r="J122" s="15">
        <v>42208</v>
      </c>
      <c r="K122">
        <v>-1.56304</v>
      </c>
      <c r="L122">
        <v>29.794553799999999</v>
      </c>
      <c r="M122">
        <v>2124</v>
      </c>
      <c r="N122">
        <v>783839352</v>
      </c>
      <c r="O122" t="s">
        <v>1075</v>
      </c>
      <c r="P122" s="131" t="s">
        <v>64</v>
      </c>
      <c r="Q122" t="s">
        <v>64</v>
      </c>
      <c r="R122" t="s">
        <v>1076</v>
      </c>
      <c r="S122" s="18">
        <v>1</v>
      </c>
      <c r="T122" s="18">
        <f>AVERAGE(3,2,3,2,1)</f>
        <v>2.2000000000000002</v>
      </c>
      <c r="U122" s="16">
        <v>1</v>
      </c>
      <c r="V122" s="16">
        <f>AVERAGE(2,2,3,4,4)</f>
        <v>3</v>
      </c>
      <c r="W122" s="16">
        <v>0</v>
      </c>
      <c r="X122" s="16" t="s">
        <v>64</v>
      </c>
      <c r="Y122" s="16">
        <v>3</v>
      </c>
      <c r="Z122" s="16" t="s">
        <v>61</v>
      </c>
      <c r="AA122" s="16" t="s">
        <v>766</v>
      </c>
      <c r="AB122" s="16" t="s">
        <v>766</v>
      </c>
      <c r="AC122" s="20">
        <v>0</v>
      </c>
      <c r="AD122" s="20" t="s">
        <v>64</v>
      </c>
      <c r="AE122" s="16" t="s">
        <v>64</v>
      </c>
      <c r="AF122" s="20" t="s">
        <v>64</v>
      </c>
      <c r="AG122" s="20" t="s">
        <v>64</v>
      </c>
      <c r="AH122" t="s">
        <v>61</v>
      </c>
      <c r="AI122" s="16">
        <v>0</v>
      </c>
      <c r="AJ122" s="16" t="s">
        <v>64</v>
      </c>
      <c r="AK122" s="16" t="s">
        <v>64</v>
      </c>
      <c r="AL122" s="16" t="s">
        <v>64</v>
      </c>
      <c r="AM122" s="16" t="s">
        <v>64</v>
      </c>
      <c r="AN122" s="16" t="s">
        <v>64</v>
      </c>
      <c r="AO122" s="16" t="s">
        <v>64</v>
      </c>
      <c r="AP122" s="16" t="s">
        <v>64</v>
      </c>
      <c r="AQ122" s="16" t="s">
        <v>64</v>
      </c>
      <c r="AR122" t="s">
        <v>64</v>
      </c>
      <c r="AS122" t="s">
        <v>64</v>
      </c>
      <c r="AT122" s="68"/>
    </row>
    <row r="123" spans="1:48">
      <c r="A123" t="s">
        <v>761</v>
      </c>
      <c r="B123" t="s">
        <v>48</v>
      </c>
      <c r="C123" t="s">
        <v>260</v>
      </c>
      <c r="D123" t="s">
        <v>540</v>
      </c>
      <c r="E123" t="s">
        <v>1077</v>
      </c>
      <c r="F123" t="s">
        <v>1078</v>
      </c>
      <c r="G123" t="s">
        <v>1079</v>
      </c>
      <c r="H123">
        <v>15</v>
      </c>
      <c r="J123" s="15">
        <v>42208</v>
      </c>
      <c r="K123">
        <v>-1.5749789999999999</v>
      </c>
      <c r="L123">
        <v>29.7658348</v>
      </c>
      <c r="M123">
        <v>2098</v>
      </c>
      <c r="N123" t="s">
        <v>64</v>
      </c>
      <c r="O123" t="s">
        <v>1080</v>
      </c>
      <c r="P123" s="131" t="s">
        <v>64</v>
      </c>
      <c r="Q123" t="s">
        <v>64</v>
      </c>
      <c r="R123" t="s">
        <v>1081</v>
      </c>
      <c r="S123" s="18">
        <v>1</v>
      </c>
      <c r="T123" s="18">
        <f>AVERAGE(1,3,2,1,2)</f>
        <v>1.8</v>
      </c>
      <c r="U123" s="16">
        <v>1</v>
      </c>
      <c r="V123" s="16">
        <f>AVERAGE(3,3,4,4,3)</f>
        <v>3.4</v>
      </c>
      <c r="W123" s="16">
        <v>0</v>
      </c>
      <c r="X123" s="16" t="s">
        <v>64</v>
      </c>
      <c r="Y123" s="16">
        <v>1</v>
      </c>
      <c r="Z123" s="16" t="s">
        <v>61</v>
      </c>
      <c r="AA123" s="16" t="s">
        <v>766</v>
      </c>
      <c r="AB123" s="16" t="s">
        <v>766</v>
      </c>
      <c r="AC123" s="20">
        <v>0</v>
      </c>
      <c r="AD123" s="20" t="s">
        <v>64</v>
      </c>
      <c r="AE123" s="16" t="s">
        <v>64</v>
      </c>
      <c r="AF123" s="20" t="s">
        <v>64</v>
      </c>
      <c r="AG123" s="20" t="s">
        <v>64</v>
      </c>
      <c r="AH123" s="26" t="s">
        <v>76</v>
      </c>
      <c r="AI123" s="16">
        <v>0</v>
      </c>
      <c r="AJ123" s="16" t="s">
        <v>64</v>
      </c>
      <c r="AK123" s="16" t="s">
        <v>64</v>
      </c>
      <c r="AL123" s="16" t="s">
        <v>64</v>
      </c>
      <c r="AM123" s="16" t="s">
        <v>64</v>
      </c>
      <c r="AN123" s="16" t="s">
        <v>64</v>
      </c>
      <c r="AO123" s="16" t="s">
        <v>64</v>
      </c>
      <c r="AP123" s="16" t="s">
        <v>64</v>
      </c>
      <c r="AQ123" s="16" t="s">
        <v>64</v>
      </c>
      <c r="AR123" t="s">
        <v>64</v>
      </c>
      <c r="AS123" t="s">
        <v>64</v>
      </c>
      <c r="AT123" s="68"/>
    </row>
    <row r="124" spans="1:48">
      <c r="A124" t="s">
        <v>761</v>
      </c>
      <c r="B124" t="s">
        <v>48</v>
      </c>
      <c r="C124" t="s">
        <v>260</v>
      </c>
      <c r="D124" t="s">
        <v>307</v>
      </c>
      <c r="E124" t="s">
        <v>375</v>
      </c>
      <c r="F124" t="s">
        <v>1082</v>
      </c>
      <c r="G124" t="s">
        <v>775</v>
      </c>
      <c r="H124">
        <v>16</v>
      </c>
      <c r="J124" s="15">
        <v>42209</v>
      </c>
      <c r="K124">
        <v>-1.3854675999999999</v>
      </c>
      <c r="L124">
        <v>29.749990499999999</v>
      </c>
      <c r="M124">
        <v>1696</v>
      </c>
      <c r="N124" t="s">
        <v>64</v>
      </c>
      <c r="O124" t="s">
        <v>1083</v>
      </c>
      <c r="P124" s="131">
        <f>15*4</f>
        <v>60</v>
      </c>
      <c r="Q124">
        <v>6</v>
      </c>
      <c r="R124" t="s">
        <v>1084</v>
      </c>
      <c r="S124" s="18">
        <v>1</v>
      </c>
      <c r="T124" s="129">
        <f>AVERAGE(3,3,1,2)</f>
        <v>2.25</v>
      </c>
      <c r="U124" s="16">
        <v>1</v>
      </c>
      <c r="V124" s="16">
        <f>AVERAGE(3,3,3,3)</f>
        <v>3</v>
      </c>
      <c r="W124" s="16">
        <v>0</v>
      </c>
      <c r="X124" s="16" t="s">
        <v>64</v>
      </c>
      <c r="Y124" s="16">
        <v>1</v>
      </c>
      <c r="Z124" s="16" t="s">
        <v>61</v>
      </c>
      <c r="AA124" s="16" t="s">
        <v>766</v>
      </c>
      <c r="AB124" s="16" t="s">
        <v>766</v>
      </c>
      <c r="AC124" s="20">
        <v>0</v>
      </c>
      <c r="AD124" s="20" t="s">
        <v>64</v>
      </c>
      <c r="AE124" s="16" t="s">
        <v>64</v>
      </c>
      <c r="AF124" s="20" t="s">
        <v>64</v>
      </c>
      <c r="AG124" s="20" t="s">
        <v>64</v>
      </c>
      <c r="AH124" s="26" t="s">
        <v>76</v>
      </c>
      <c r="AI124" s="16">
        <v>0</v>
      </c>
      <c r="AJ124" s="16" t="s">
        <v>64</v>
      </c>
      <c r="AK124" s="16" t="s">
        <v>64</v>
      </c>
      <c r="AL124" s="16" t="s">
        <v>64</v>
      </c>
      <c r="AM124" s="16" t="s">
        <v>64</v>
      </c>
      <c r="AN124" s="16" t="s">
        <v>64</v>
      </c>
      <c r="AO124" s="16" t="s">
        <v>64</v>
      </c>
      <c r="AP124" s="16" t="s">
        <v>64</v>
      </c>
      <c r="AQ124" s="16" t="s">
        <v>64</v>
      </c>
      <c r="AR124" t="s">
        <v>64</v>
      </c>
      <c r="AS124" t="s">
        <v>64</v>
      </c>
      <c r="AT124" s="68"/>
    </row>
    <row r="125" spans="1:48">
      <c r="A125" t="s">
        <v>761</v>
      </c>
      <c r="B125" t="s">
        <v>48</v>
      </c>
      <c r="C125" t="s">
        <v>260</v>
      </c>
      <c r="D125" t="s">
        <v>307</v>
      </c>
      <c r="E125" t="s">
        <v>308</v>
      </c>
      <c r="F125" t="s">
        <v>321</v>
      </c>
      <c r="G125" t="s">
        <v>1085</v>
      </c>
      <c r="H125">
        <v>17</v>
      </c>
      <c r="J125" s="15">
        <v>41844</v>
      </c>
      <c r="K125">
        <v>-1.3797208000000001</v>
      </c>
      <c r="L125">
        <v>29.775303900000001</v>
      </c>
      <c r="M125">
        <v>1922</v>
      </c>
      <c r="N125">
        <v>784907884</v>
      </c>
      <c r="O125" t="s">
        <v>1086</v>
      </c>
      <c r="P125" s="131" t="s">
        <v>64</v>
      </c>
      <c r="Q125" t="s">
        <v>64</v>
      </c>
      <c r="R125" t="s">
        <v>1087</v>
      </c>
      <c r="S125" s="18">
        <v>1</v>
      </c>
      <c r="T125" s="18">
        <f>AVERAGE(3,3,2,2)</f>
        <v>2.5</v>
      </c>
      <c r="U125" s="16">
        <v>1</v>
      </c>
      <c r="V125" s="16">
        <f>AVERAGE(6,5,3,4)</f>
        <v>4.5</v>
      </c>
      <c r="W125" s="16">
        <v>0</v>
      </c>
      <c r="X125" s="16" t="s">
        <v>64</v>
      </c>
      <c r="Y125" s="16">
        <v>0</v>
      </c>
      <c r="Z125" s="16" t="s">
        <v>61</v>
      </c>
      <c r="AA125" s="16" t="s">
        <v>766</v>
      </c>
      <c r="AB125" s="16" t="s">
        <v>766</v>
      </c>
      <c r="AC125" s="20">
        <v>0</v>
      </c>
      <c r="AD125" s="20" t="s">
        <v>64</v>
      </c>
      <c r="AE125" s="16" t="s">
        <v>64</v>
      </c>
      <c r="AF125" s="20" t="s">
        <v>64</v>
      </c>
      <c r="AG125" s="20" t="s">
        <v>64</v>
      </c>
      <c r="AH125" t="s">
        <v>61</v>
      </c>
      <c r="AI125" s="16">
        <v>1</v>
      </c>
      <c r="AJ125" s="16">
        <v>0</v>
      </c>
      <c r="AK125" s="16">
        <v>0</v>
      </c>
      <c r="AL125" s="137">
        <f>1/83*100</f>
        <v>1.2048192771084338</v>
      </c>
      <c r="AM125" s="137">
        <f>0.11/2.97*100</f>
        <v>3.7037037037037033</v>
      </c>
      <c r="AN125" s="62">
        <v>0</v>
      </c>
      <c r="AO125" s="62">
        <v>6</v>
      </c>
      <c r="AP125" s="16" t="s">
        <v>64</v>
      </c>
      <c r="AQ125" s="16" t="s">
        <v>64</v>
      </c>
      <c r="AR125" t="s">
        <v>64</v>
      </c>
      <c r="AS125" t="s">
        <v>64</v>
      </c>
      <c r="AT125" s="68"/>
    </row>
    <row r="126" spans="1:48">
      <c r="A126" t="s">
        <v>761</v>
      </c>
      <c r="B126" t="s">
        <v>48</v>
      </c>
      <c r="C126" t="s">
        <v>260</v>
      </c>
      <c r="D126" t="s">
        <v>307</v>
      </c>
      <c r="E126" t="s">
        <v>316</v>
      </c>
      <c r="F126" s="22" t="s">
        <v>317</v>
      </c>
      <c r="G126" t="s">
        <v>558</v>
      </c>
      <c r="H126">
        <v>18</v>
      </c>
      <c r="J126" s="15">
        <v>42209</v>
      </c>
      <c r="K126">
        <v>-1.3804799999999999</v>
      </c>
      <c r="L126">
        <v>29.80519</v>
      </c>
      <c r="M126">
        <v>1887</v>
      </c>
      <c r="N126">
        <v>785995920</v>
      </c>
      <c r="O126" t="s">
        <v>1088</v>
      </c>
      <c r="P126" s="131" t="s">
        <v>64</v>
      </c>
      <c r="Q126" t="s">
        <v>64</v>
      </c>
      <c r="R126" t="s">
        <v>1089</v>
      </c>
      <c r="S126" s="18">
        <v>1</v>
      </c>
      <c r="T126" s="129">
        <f>AVERAGE(3,2,2,2)</f>
        <v>2.25</v>
      </c>
      <c r="U126" s="16">
        <v>1</v>
      </c>
      <c r="V126" s="16">
        <f>AVERAGE(7,7,8,7)</f>
        <v>7.25</v>
      </c>
      <c r="W126" s="16">
        <v>0</v>
      </c>
      <c r="X126" s="16" t="s">
        <v>64</v>
      </c>
      <c r="Y126" s="16">
        <v>0</v>
      </c>
      <c r="Z126" s="16" t="s">
        <v>61</v>
      </c>
      <c r="AA126" s="16" t="s">
        <v>766</v>
      </c>
      <c r="AB126" s="16" t="s">
        <v>766</v>
      </c>
      <c r="AC126" s="20">
        <v>0</v>
      </c>
      <c r="AD126" s="20" t="s">
        <v>64</v>
      </c>
      <c r="AE126" s="16" t="s">
        <v>64</v>
      </c>
      <c r="AF126" s="20" t="s">
        <v>64</v>
      </c>
      <c r="AG126" s="20" t="s">
        <v>64</v>
      </c>
      <c r="AH126" t="s">
        <v>61</v>
      </c>
      <c r="AI126" s="16">
        <v>1</v>
      </c>
      <c r="AJ126" s="16">
        <v>0</v>
      </c>
      <c r="AK126" s="16">
        <v>0</v>
      </c>
      <c r="AL126" s="137">
        <f>6/44*100</f>
        <v>13.636363636363635</v>
      </c>
      <c r="AM126" s="137">
        <f>0.17/1.37*100</f>
        <v>12.408759124087592</v>
      </c>
      <c r="AN126" s="62">
        <v>7</v>
      </c>
      <c r="AO126" s="16">
        <v>0</v>
      </c>
      <c r="AP126" s="16" t="s">
        <v>64</v>
      </c>
      <c r="AQ126" s="16" t="s">
        <v>64</v>
      </c>
      <c r="AR126" t="s">
        <v>64</v>
      </c>
      <c r="AS126" t="s">
        <v>64</v>
      </c>
      <c r="AT126" s="68"/>
    </row>
    <row r="127" spans="1:48">
      <c r="A127" t="s">
        <v>761</v>
      </c>
      <c r="B127" t="s">
        <v>48</v>
      </c>
      <c r="C127" t="s">
        <v>260</v>
      </c>
      <c r="D127" t="s">
        <v>307</v>
      </c>
      <c r="E127" t="s">
        <v>316</v>
      </c>
      <c r="F127" t="s">
        <v>1090</v>
      </c>
      <c r="G127" t="s">
        <v>1091</v>
      </c>
      <c r="H127">
        <v>19</v>
      </c>
      <c r="J127" s="15">
        <v>42209</v>
      </c>
      <c r="K127">
        <v>-1.34517</v>
      </c>
      <c r="L127">
        <v>29.819220000000001</v>
      </c>
      <c r="M127">
        <v>1957</v>
      </c>
      <c r="N127">
        <v>782106666</v>
      </c>
      <c r="O127" t="s">
        <v>1092</v>
      </c>
      <c r="P127" s="131" t="s">
        <v>64</v>
      </c>
      <c r="Q127" t="s">
        <v>64</v>
      </c>
      <c r="R127" t="s">
        <v>1093</v>
      </c>
      <c r="S127" s="18">
        <v>1</v>
      </c>
      <c r="T127" s="18">
        <f>AVERAGE(2,3,1,3,3)</f>
        <v>2.4</v>
      </c>
      <c r="U127" s="16">
        <v>1</v>
      </c>
      <c r="V127" s="16">
        <f>AVERAGE(6,5,7,7,6)</f>
        <v>6.2</v>
      </c>
      <c r="W127" s="16">
        <v>0</v>
      </c>
      <c r="X127" s="16" t="s">
        <v>64</v>
      </c>
      <c r="Y127" s="16">
        <v>3</v>
      </c>
      <c r="Z127" s="16" t="s">
        <v>61</v>
      </c>
      <c r="AA127" s="16" t="s">
        <v>766</v>
      </c>
      <c r="AB127" s="16" t="s">
        <v>766</v>
      </c>
      <c r="AC127" s="20">
        <v>0</v>
      </c>
      <c r="AD127" s="20" t="s">
        <v>64</v>
      </c>
      <c r="AE127" s="16" t="s">
        <v>64</v>
      </c>
      <c r="AF127" s="20" t="s">
        <v>64</v>
      </c>
      <c r="AG127" s="20" t="s">
        <v>64</v>
      </c>
      <c r="AH127" t="s">
        <v>61</v>
      </c>
      <c r="AI127" s="16">
        <v>0</v>
      </c>
      <c r="AJ127" s="16" t="s">
        <v>64</v>
      </c>
      <c r="AK127" s="16" t="s">
        <v>64</v>
      </c>
      <c r="AL127" s="16" t="s">
        <v>64</v>
      </c>
      <c r="AM127" s="16" t="s">
        <v>64</v>
      </c>
      <c r="AN127" s="16" t="s">
        <v>64</v>
      </c>
      <c r="AO127" s="16" t="s">
        <v>64</v>
      </c>
      <c r="AP127" s="16" t="s">
        <v>64</v>
      </c>
      <c r="AQ127" s="16" t="s">
        <v>64</v>
      </c>
      <c r="AR127" t="s">
        <v>64</v>
      </c>
      <c r="AS127" t="s">
        <v>64</v>
      </c>
      <c r="AT127" s="68"/>
    </row>
    <row r="128" spans="1:48">
      <c r="A128" t="s">
        <v>761</v>
      </c>
      <c r="B128" t="s">
        <v>48</v>
      </c>
      <c r="C128" t="s">
        <v>260</v>
      </c>
      <c r="D128" t="s">
        <v>307</v>
      </c>
      <c r="E128" t="s">
        <v>316</v>
      </c>
      <c r="F128" t="s">
        <v>358</v>
      </c>
      <c r="G128" t="s">
        <v>1094</v>
      </c>
      <c r="H128">
        <v>20</v>
      </c>
      <c r="J128" s="15">
        <v>42028</v>
      </c>
      <c r="K128">
        <v>-1.415252</v>
      </c>
      <c r="L128">
        <v>29.807037399999999</v>
      </c>
      <c r="M128">
        <v>2086</v>
      </c>
      <c r="N128" t="s">
        <v>64</v>
      </c>
      <c r="O128" t="s">
        <v>1095</v>
      </c>
      <c r="P128" s="131" t="s">
        <v>64</v>
      </c>
      <c r="Q128" t="s">
        <v>64</v>
      </c>
      <c r="R128" t="s">
        <v>1096</v>
      </c>
      <c r="S128" s="18">
        <v>1</v>
      </c>
      <c r="T128" s="129">
        <f>AVERAGE(2,3,2)</f>
        <v>2.3333333333333335</v>
      </c>
      <c r="U128" s="16">
        <v>1</v>
      </c>
      <c r="V128" s="16">
        <f>AVERAGE(3,3,2)</f>
        <v>2.6666666666666665</v>
      </c>
      <c r="W128" s="16">
        <v>0</v>
      </c>
      <c r="X128" s="16" t="s">
        <v>64</v>
      </c>
      <c r="Y128" s="16">
        <v>2</v>
      </c>
      <c r="Z128" s="16" t="s">
        <v>61</v>
      </c>
      <c r="AA128" s="16" t="s">
        <v>766</v>
      </c>
      <c r="AB128" s="16" t="s">
        <v>766</v>
      </c>
      <c r="AC128" s="20">
        <v>0</v>
      </c>
      <c r="AD128" s="20" t="s">
        <v>64</v>
      </c>
      <c r="AE128" s="16" t="s">
        <v>64</v>
      </c>
      <c r="AF128" s="20" t="s">
        <v>64</v>
      </c>
      <c r="AG128" s="20" t="s">
        <v>64</v>
      </c>
      <c r="AH128" t="s">
        <v>61</v>
      </c>
      <c r="AI128" s="16">
        <v>0</v>
      </c>
      <c r="AJ128" s="16" t="s">
        <v>64</v>
      </c>
      <c r="AK128" s="16" t="s">
        <v>64</v>
      </c>
      <c r="AL128" s="16" t="s">
        <v>64</v>
      </c>
      <c r="AM128" s="16" t="s">
        <v>64</v>
      </c>
      <c r="AN128" s="16" t="s">
        <v>64</v>
      </c>
      <c r="AO128" s="16" t="s">
        <v>64</v>
      </c>
      <c r="AP128" s="16" t="s">
        <v>64</v>
      </c>
      <c r="AQ128" s="16" t="s">
        <v>64</v>
      </c>
      <c r="AR128" t="s">
        <v>64</v>
      </c>
      <c r="AS128" t="s">
        <v>64</v>
      </c>
      <c r="AT128" s="68"/>
    </row>
    <row r="129" spans="1:46">
      <c r="A129" t="s">
        <v>761</v>
      </c>
      <c r="B129" t="s">
        <v>48</v>
      </c>
      <c r="C129" t="s">
        <v>260</v>
      </c>
      <c r="D129" t="s">
        <v>307</v>
      </c>
      <c r="E129" t="s">
        <v>341</v>
      </c>
      <c r="F129" t="s">
        <v>437</v>
      </c>
      <c r="G129" t="s">
        <v>1097</v>
      </c>
      <c r="H129">
        <v>21</v>
      </c>
      <c r="J129" s="15">
        <v>42211</v>
      </c>
      <c r="K129">
        <v>-1.5065993</v>
      </c>
      <c r="L129">
        <v>29.871450400000001</v>
      </c>
      <c r="M129">
        <v>2281</v>
      </c>
      <c r="N129" t="s">
        <v>64</v>
      </c>
      <c r="O129" t="s">
        <v>1098</v>
      </c>
      <c r="P129" s="131">
        <f>30*3</f>
        <v>90</v>
      </c>
      <c r="Q129">
        <v>4</v>
      </c>
      <c r="R129" t="s">
        <v>1099</v>
      </c>
      <c r="S129" s="18">
        <v>1</v>
      </c>
      <c r="T129" s="18">
        <f>AVERAGE(3,2,2,3)</f>
        <v>2.5</v>
      </c>
      <c r="U129" s="16">
        <v>1</v>
      </c>
      <c r="V129" s="16">
        <f>AVERAGE(3,3,3,3)</f>
        <v>3</v>
      </c>
      <c r="W129" s="16">
        <v>0</v>
      </c>
      <c r="X129" s="16" t="s">
        <v>64</v>
      </c>
      <c r="Y129" s="16">
        <v>1</v>
      </c>
      <c r="Z129" s="16" t="s">
        <v>61</v>
      </c>
      <c r="AA129" s="16" t="s">
        <v>766</v>
      </c>
      <c r="AB129" s="16" t="s">
        <v>766</v>
      </c>
      <c r="AC129" s="20">
        <v>0</v>
      </c>
      <c r="AD129" s="20" t="s">
        <v>64</v>
      </c>
      <c r="AE129" s="16" t="s">
        <v>64</v>
      </c>
      <c r="AF129" s="20" t="s">
        <v>64</v>
      </c>
      <c r="AG129" s="20" t="s">
        <v>64</v>
      </c>
      <c r="AH129" t="s">
        <v>61</v>
      </c>
      <c r="AI129" s="16">
        <v>1</v>
      </c>
      <c r="AJ129" s="16">
        <f>2/15*100</f>
        <v>13.333333333333334</v>
      </c>
      <c r="AK129" s="16">
        <v>2</v>
      </c>
      <c r="AL129" s="137">
        <v>0</v>
      </c>
      <c r="AM129" s="137">
        <v>0</v>
      </c>
      <c r="AN129" s="62">
        <v>0</v>
      </c>
      <c r="AO129" s="62">
        <v>0</v>
      </c>
      <c r="AP129" s="16" t="s">
        <v>64</v>
      </c>
      <c r="AQ129" s="16" t="s">
        <v>64</v>
      </c>
      <c r="AR129" t="s">
        <v>64</v>
      </c>
      <c r="AS129" t="s">
        <v>64</v>
      </c>
      <c r="AT129" s="68"/>
    </row>
    <row r="130" spans="1:46">
      <c r="A130" t="s">
        <v>761</v>
      </c>
      <c r="B130" t="s">
        <v>48</v>
      </c>
      <c r="C130" t="s">
        <v>260</v>
      </c>
      <c r="D130" t="s">
        <v>307</v>
      </c>
      <c r="E130" t="s">
        <v>371</v>
      </c>
      <c r="F130" t="s">
        <v>410</v>
      </c>
      <c r="G130" t="s">
        <v>1100</v>
      </c>
      <c r="H130">
        <v>22</v>
      </c>
      <c r="J130" s="15">
        <v>42211</v>
      </c>
      <c r="K130">
        <v>-1.5446770000000001</v>
      </c>
      <c r="L130">
        <v>29.881359</v>
      </c>
      <c r="M130">
        <v>2282</v>
      </c>
      <c r="N130">
        <v>786852691</v>
      </c>
      <c r="O130" t="s">
        <v>1101</v>
      </c>
      <c r="P130" s="131">
        <f>50*40</f>
        <v>2000</v>
      </c>
      <c r="Q130">
        <v>9</v>
      </c>
      <c r="R130" t="s">
        <v>1093</v>
      </c>
      <c r="S130" s="18">
        <v>1</v>
      </c>
      <c r="T130" s="18">
        <f>AVERAGE(3,2,2,3,4)</f>
        <v>2.8</v>
      </c>
      <c r="U130" s="16">
        <v>1</v>
      </c>
      <c r="V130" s="16">
        <f>AVERAGE(3,4,5,7,7)</f>
        <v>5.2</v>
      </c>
      <c r="W130" s="16">
        <v>0</v>
      </c>
      <c r="X130" s="16" t="s">
        <v>64</v>
      </c>
      <c r="Y130" s="16">
        <v>2</v>
      </c>
      <c r="Z130" s="16" t="s">
        <v>61</v>
      </c>
      <c r="AA130" s="16" t="s">
        <v>766</v>
      </c>
      <c r="AB130" s="16" t="s">
        <v>766</v>
      </c>
      <c r="AC130" s="20">
        <v>0</v>
      </c>
      <c r="AD130" s="20" t="s">
        <v>64</v>
      </c>
      <c r="AE130" s="16" t="s">
        <v>64</v>
      </c>
      <c r="AF130" s="20" t="s">
        <v>64</v>
      </c>
      <c r="AG130" s="20" t="s">
        <v>64</v>
      </c>
      <c r="AH130" t="s">
        <v>61</v>
      </c>
      <c r="AI130" s="16">
        <v>1</v>
      </c>
      <c r="AJ130" s="16">
        <f>1/15*100</f>
        <v>6.666666666666667</v>
      </c>
      <c r="AK130" s="16">
        <v>2</v>
      </c>
      <c r="AL130" s="137">
        <v>0</v>
      </c>
      <c r="AM130" s="137">
        <v>0</v>
      </c>
      <c r="AN130" s="62">
        <v>0</v>
      </c>
      <c r="AO130" s="62">
        <v>0</v>
      </c>
      <c r="AP130" s="16" t="s">
        <v>64</v>
      </c>
      <c r="AQ130" s="16" t="s">
        <v>64</v>
      </c>
      <c r="AR130" t="s">
        <v>64</v>
      </c>
      <c r="AS130" t="s">
        <v>64</v>
      </c>
      <c r="AT130" s="68"/>
    </row>
    <row r="131" spans="1:46">
      <c r="A131" t="s">
        <v>761</v>
      </c>
      <c r="B131" t="s">
        <v>48</v>
      </c>
      <c r="C131" t="s">
        <v>260</v>
      </c>
      <c r="D131" t="s">
        <v>307</v>
      </c>
      <c r="E131" t="s">
        <v>371</v>
      </c>
      <c r="F131" t="s">
        <v>372</v>
      </c>
      <c r="G131" t="s">
        <v>1102</v>
      </c>
      <c r="H131">
        <v>23</v>
      </c>
      <c r="J131" s="15">
        <v>42211</v>
      </c>
      <c r="K131">
        <v>-1.5859749000000001</v>
      </c>
      <c r="L131">
        <v>29.9007969</v>
      </c>
      <c r="M131">
        <v>2205</v>
      </c>
      <c r="N131" t="s">
        <v>64</v>
      </c>
      <c r="O131" t="s">
        <v>1103</v>
      </c>
      <c r="P131" s="131">
        <f>13*20</f>
        <v>260</v>
      </c>
      <c r="Q131">
        <v>8</v>
      </c>
      <c r="R131" t="s">
        <v>1093</v>
      </c>
      <c r="S131" s="18">
        <v>1</v>
      </c>
      <c r="T131" s="129">
        <f>AVERAGE(3,2,2,2)</f>
        <v>2.25</v>
      </c>
      <c r="U131" s="16">
        <v>1</v>
      </c>
      <c r="V131" s="16">
        <f>AVERAGE(4,5,4,3)</f>
        <v>4</v>
      </c>
      <c r="W131" s="16">
        <v>0</v>
      </c>
      <c r="X131" s="16" t="s">
        <v>64</v>
      </c>
      <c r="Y131" s="16">
        <v>1</v>
      </c>
      <c r="Z131" s="16" t="s">
        <v>61</v>
      </c>
      <c r="AA131" s="16" t="s">
        <v>766</v>
      </c>
      <c r="AB131" s="16" t="s">
        <v>766</v>
      </c>
      <c r="AC131" s="20">
        <v>0</v>
      </c>
      <c r="AD131" s="20" t="s">
        <v>64</v>
      </c>
      <c r="AE131" s="16" t="s">
        <v>64</v>
      </c>
      <c r="AF131" s="20" t="s">
        <v>64</v>
      </c>
      <c r="AG131" s="20" t="s">
        <v>64</v>
      </c>
      <c r="AH131" s="26" t="s">
        <v>76</v>
      </c>
      <c r="AI131" s="16">
        <v>0</v>
      </c>
      <c r="AJ131" s="16" t="s">
        <v>64</v>
      </c>
      <c r="AK131" s="16" t="s">
        <v>64</v>
      </c>
      <c r="AL131" s="16" t="s">
        <v>64</v>
      </c>
      <c r="AM131" s="16" t="s">
        <v>64</v>
      </c>
      <c r="AN131" s="16" t="s">
        <v>64</v>
      </c>
      <c r="AO131" s="16" t="s">
        <v>64</v>
      </c>
      <c r="AP131" s="16" t="s">
        <v>64</v>
      </c>
      <c r="AQ131" s="16" t="s">
        <v>64</v>
      </c>
      <c r="AR131" t="s">
        <v>64</v>
      </c>
      <c r="AS131" t="s">
        <v>64</v>
      </c>
      <c r="AT131" s="68"/>
    </row>
    <row r="132" spans="1:46">
      <c r="A132" t="s">
        <v>761</v>
      </c>
      <c r="B132" t="s">
        <v>48</v>
      </c>
      <c r="C132" t="s">
        <v>260</v>
      </c>
      <c r="D132" t="s">
        <v>307</v>
      </c>
      <c r="E132" t="s">
        <v>371</v>
      </c>
      <c r="F132" t="s">
        <v>372</v>
      </c>
      <c r="G132" t="s">
        <v>1053</v>
      </c>
      <c r="H132">
        <v>24</v>
      </c>
      <c r="J132" s="15">
        <v>42211</v>
      </c>
      <c r="K132">
        <v>-1.5852295999999999</v>
      </c>
      <c r="L132">
        <v>29.927944199999999</v>
      </c>
      <c r="M132">
        <v>2111</v>
      </c>
      <c r="N132" t="s">
        <v>64</v>
      </c>
      <c r="O132" t="s">
        <v>1104</v>
      </c>
      <c r="P132" s="131" t="s">
        <v>64</v>
      </c>
      <c r="Q132" t="s">
        <v>64</v>
      </c>
      <c r="R132" t="s">
        <v>1105</v>
      </c>
      <c r="S132" s="18">
        <v>1</v>
      </c>
      <c r="T132" s="18">
        <f>AVERAGE(2,3,2,2,2)</f>
        <v>2.2000000000000002</v>
      </c>
      <c r="U132" s="16">
        <v>1</v>
      </c>
      <c r="V132" s="16">
        <f>AVERAGE(7,5,3,4,5)</f>
        <v>4.8</v>
      </c>
      <c r="W132" s="16">
        <v>0</v>
      </c>
      <c r="X132" s="16" t="s">
        <v>64</v>
      </c>
      <c r="Y132" s="16">
        <v>0</v>
      </c>
      <c r="Z132" s="16" t="s">
        <v>61</v>
      </c>
      <c r="AA132" s="16" t="s">
        <v>766</v>
      </c>
      <c r="AB132" s="16" t="s">
        <v>766</v>
      </c>
      <c r="AC132" s="20">
        <v>0</v>
      </c>
      <c r="AD132" s="20" t="s">
        <v>64</v>
      </c>
      <c r="AE132" s="16" t="s">
        <v>64</v>
      </c>
      <c r="AF132" s="20" t="s">
        <v>64</v>
      </c>
      <c r="AG132" s="20" t="s">
        <v>64</v>
      </c>
      <c r="AH132" t="s">
        <v>61</v>
      </c>
      <c r="AI132" s="16">
        <v>0</v>
      </c>
      <c r="AJ132" s="16" t="s">
        <v>64</v>
      </c>
      <c r="AK132" s="16" t="s">
        <v>64</v>
      </c>
      <c r="AL132" s="16" t="s">
        <v>64</v>
      </c>
      <c r="AM132" s="16" t="s">
        <v>64</v>
      </c>
      <c r="AN132" s="16" t="s">
        <v>64</v>
      </c>
      <c r="AO132" s="16" t="s">
        <v>64</v>
      </c>
      <c r="AP132" s="16" t="s">
        <v>64</v>
      </c>
      <c r="AQ132" s="16" t="s">
        <v>64</v>
      </c>
      <c r="AR132" t="s">
        <v>64</v>
      </c>
      <c r="AS132" t="s">
        <v>64</v>
      </c>
      <c r="AT132" s="68"/>
    </row>
    <row r="133" spans="1:46">
      <c r="A133" t="s">
        <v>761</v>
      </c>
      <c r="B133" t="s">
        <v>48</v>
      </c>
      <c r="C133" t="s">
        <v>260</v>
      </c>
      <c r="D133" t="s">
        <v>307</v>
      </c>
      <c r="E133" t="s">
        <v>371</v>
      </c>
      <c r="F133" t="s">
        <v>433</v>
      </c>
      <c r="G133" t="s">
        <v>1106</v>
      </c>
      <c r="H133">
        <v>25</v>
      </c>
      <c r="J133" s="15">
        <v>42211</v>
      </c>
      <c r="K133">
        <v>-1.5714360000000001</v>
      </c>
      <c r="L133">
        <v>29.937843300000001</v>
      </c>
      <c r="M133">
        <v>2290</v>
      </c>
      <c r="N133" t="s">
        <v>64</v>
      </c>
      <c r="O133" t="s">
        <v>1107</v>
      </c>
      <c r="P133" s="131">
        <f>32*8</f>
        <v>256</v>
      </c>
      <c r="Q133">
        <v>8</v>
      </c>
      <c r="R133" t="s">
        <v>1093</v>
      </c>
      <c r="S133" s="18">
        <v>1</v>
      </c>
      <c r="T133" s="18">
        <f>AVERAGE(2,2,2,3,3)</f>
        <v>2.4</v>
      </c>
      <c r="U133" s="16">
        <v>1</v>
      </c>
      <c r="V133" s="16">
        <f>AVERAGE(6,5,7,7,5)</f>
        <v>6</v>
      </c>
      <c r="W133" s="16">
        <v>0</v>
      </c>
      <c r="X133" s="16" t="s">
        <v>64</v>
      </c>
      <c r="Y133" s="16">
        <v>0</v>
      </c>
      <c r="Z133" s="16" t="s">
        <v>61</v>
      </c>
      <c r="AA133" s="16" t="s">
        <v>766</v>
      </c>
      <c r="AB133" s="16" t="s">
        <v>766</v>
      </c>
      <c r="AC133" s="20">
        <v>0</v>
      </c>
      <c r="AD133" s="20" t="s">
        <v>64</v>
      </c>
      <c r="AE133" s="16" t="s">
        <v>64</v>
      </c>
      <c r="AF133" s="20" t="s">
        <v>64</v>
      </c>
      <c r="AG133" s="20" t="s">
        <v>64</v>
      </c>
      <c r="AH133" s="26" t="s">
        <v>76</v>
      </c>
      <c r="AI133" s="16">
        <v>1</v>
      </c>
      <c r="AJ133" s="16">
        <f>1/15*100</f>
        <v>6.666666666666667</v>
      </c>
      <c r="AK133" s="16">
        <v>2</v>
      </c>
      <c r="AL133" s="137">
        <f>3/28*100</f>
        <v>10.714285714285714</v>
      </c>
      <c r="AM133" s="137">
        <f>0.11/0.95*100</f>
        <v>11.578947368421053</v>
      </c>
      <c r="AN133" s="62">
        <v>8</v>
      </c>
      <c r="AO133" s="16">
        <v>0</v>
      </c>
      <c r="AP133" s="16" t="s">
        <v>64</v>
      </c>
      <c r="AQ133" s="16" t="s">
        <v>64</v>
      </c>
      <c r="AR133" t="s">
        <v>64</v>
      </c>
      <c r="AS133" t="s">
        <v>64</v>
      </c>
      <c r="AT133" s="68"/>
    </row>
    <row r="134" spans="1:46">
      <c r="A134" t="s">
        <v>761</v>
      </c>
      <c r="B134" t="s">
        <v>48</v>
      </c>
      <c r="C134" t="s">
        <v>260</v>
      </c>
      <c r="D134" t="s">
        <v>307</v>
      </c>
      <c r="E134" t="s">
        <v>341</v>
      </c>
      <c r="F134" t="s">
        <v>342</v>
      </c>
      <c r="G134" t="s">
        <v>1108</v>
      </c>
      <c r="H134">
        <v>26</v>
      </c>
      <c r="J134" s="15">
        <v>42211</v>
      </c>
      <c r="K134">
        <v>-1.4921172</v>
      </c>
      <c r="L134">
        <v>29.842681899999999</v>
      </c>
      <c r="M134">
        <v>2046</v>
      </c>
      <c r="N134" t="s">
        <v>64</v>
      </c>
      <c r="O134" t="s">
        <v>1109</v>
      </c>
      <c r="P134" s="131">
        <f>35*18</f>
        <v>630</v>
      </c>
      <c r="Q134" t="s">
        <v>64</v>
      </c>
      <c r="R134" t="s">
        <v>1110</v>
      </c>
      <c r="S134" s="18">
        <v>1</v>
      </c>
      <c r="T134" s="18">
        <f>AVERAGE(3,2,2,3,3)</f>
        <v>2.6</v>
      </c>
      <c r="U134" s="16">
        <v>1</v>
      </c>
      <c r="V134" s="16">
        <f>AVERAGE(3,3,3,4,5)</f>
        <v>3.6</v>
      </c>
      <c r="W134" s="16">
        <v>0</v>
      </c>
      <c r="X134" s="16" t="s">
        <v>64</v>
      </c>
      <c r="Y134" s="16">
        <v>2</v>
      </c>
      <c r="Z134" s="16" t="s">
        <v>795</v>
      </c>
      <c r="AA134" s="16" t="s">
        <v>766</v>
      </c>
      <c r="AB134" s="16" t="s">
        <v>766</v>
      </c>
      <c r="AC134" s="20">
        <v>0</v>
      </c>
      <c r="AD134" s="20" t="s">
        <v>64</v>
      </c>
      <c r="AE134" s="16" t="s">
        <v>64</v>
      </c>
      <c r="AF134" s="20" t="s">
        <v>64</v>
      </c>
      <c r="AG134" s="20" t="s">
        <v>64</v>
      </c>
      <c r="AH134" t="s">
        <v>61</v>
      </c>
      <c r="AI134" s="16">
        <v>0</v>
      </c>
      <c r="AJ134" s="16" t="s">
        <v>64</v>
      </c>
      <c r="AK134" s="16" t="s">
        <v>64</v>
      </c>
      <c r="AL134" s="16" t="s">
        <v>64</v>
      </c>
      <c r="AM134" s="16" t="s">
        <v>64</v>
      </c>
      <c r="AN134" s="16" t="s">
        <v>64</v>
      </c>
      <c r="AO134" s="16" t="s">
        <v>64</v>
      </c>
      <c r="AP134" s="16" t="s">
        <v>64</v>
      </c>
      <c r="AQ134" s="16" t="s">
        <v>64</v>
      </c>
      <c r="AR134" t="s">
        <v>64</v>
      </c>
      <c r="AS134" t="s">
        <v>64</v>
      </c>
      <c r="AT134" s="68"/>
    </row>
    <row r="135" spans="1:46">
      <c r="A135" t="s">
        <v>761</v>
      </c>
      <c r="B135" t="s">
        <v>48</v>
      </c>
      <c r="C135" t="s">
        <v>260</v>
      </c>
      <c r="D135" t="s">
        <v>380</v>
      </c>
      <c r="E135" t="s">
        <v>1111</v>
      </c>
      <c r="F135" t="s">
        <v>464</v>
      </c>
      <c r="G135" t="s">
        <v>1112</v>
      </c>
      <c r="H135">
        <v>27</v>
      </c>
      <c r="J135" s="15">
        <v>42212</v>
      </c>
      <c r="K135">
        <v>-1.5951858999999999</v>
      </c>
      <c r="L135">
        <v>29.517818500000001</v>
      </c>
      <c r="M135">
        <v>2315</v>
      </c>
      <c r="N135">
        <v>726061686</v>
      </c>
      <c r="O135" t="s">
        <v>1113</v>
      </c>
      <c r="P135" s="131">
        <f>35*10</f>
        <v>350</v>
      </c>
      <c r="Q135">
        <v>7</v>
      </c>
      <c r="R135" t="s">
        <v>1093</v>
      </c>
      <c r="S135" s="18">
        <v>1</v>
      </c>
      <c r="T135" s="18">
        <f>AVERAGE(3,2,3,4)</f>
        <v>3</v>
      </c>
      <c r="U135" s="16">
        <v>1</v>
      </c>
      <c r="V135" s="16">
        <f>AVERAGE(2,2,2,2)</f>
        <v>2</v>
      </c>
      <c r="W135" s="16">
        <v>0</v>
      </c>
      <c r="X135" s="16" t="s">
        <v>64</v>
      </c>
      <c r="Y135" s="16">
        <v>0</v>
      </c>
      <c r="Z135" s="16" t="s">
        <v>61</v>
      </c>
      <c r="AA135" s="16" t="s">
        <v>766</v>
      </c>
      <c r="AB135" s="16" t="s">
        <v>766</v>
      </c>
      <c r="AC135" s="20">
        <v>0</v>
      </c>
      <c r="AD135" s="20" t="s">
        <v>64</v>
      </c>
      <c r="AE135" s="16" t="s">
        <v>64</v>
      </c>
      <c r="AF135" s="20" t="s">
        <v>64</v>
      </c>
      <c r="AG135" s="20" t="s">
        <v>64</v>
      </c>
      <c r="AH135" t="s">
        <v>61</v>
      </c>
      <c r="AI135" s="16">
        <v>0</v>
      </c>
      <c r="AJ135" s="16" t="s">
        <v>64</v>
      </c>
      <c r="AK135" s="16" t="s">
        <v>64</v>
      </c>
      <c r="AL135" s="16" t="s">
        <v>64</v>
      </c>
      <c r="AM135" s="16" t="s">
        <v>64</v>
      </c>
      <c r="AN135" s="16" t="s">
        <v>64</v>
      </c>
      <c r="AO135" s="16" t="s">
        <v>64</v>
      </c>
      <c r="AP135" s="16" t="s">
        <v>64</v>
      </c>
      <c r="AQ135" s="16" t="s">
        <v>64</v>
      </c>
      <c r="AR135" t="s">
        <v>64</v>
      </c>
      <c r="AS135" t="s">
        <v>64</v>
      </c>
      <c r="AT135" s="68"/>
    </row>
    <row r="136" spans="1:46">
      <c r="A136" t="s">
        <v>761</v>
      </c>
      <c r="B136" t="s">
        <v>48</v>
      </c>
      <c r="C136" t="s">
        <v>260</v>
      </c>
      <c r="D136" t="s">
        <v>380</v>
      </c>
      <c r="E136" t="s">
        <v>413</v>
      </c>
      <c r="F136" t="s">
        <v>515</v>
      </c>
      <c r="G136" t="s">
        <v>1114</v>
      </c>
      <c r="H136">
        <v>28</v>
      </c>
      <c r="J136" s="15">
        <v>42212</v>
      </c>
      <c r="K136">
        <v>-1.6824075000000001</v>
      </c>
      <c r="L136">
        <v>29.519418699999999</v>
      </c>
      <c r="M136">
        <v>2284</v>
      </c>
      <c r="N136">
        <v>788655291</v>
      </c>
      <c r="O136" t="s">
        <v>1115</v>
      </c>
      <c r="P136" s="131">
        <f>25*3</f>
        <v>75</v>
      </c>
      <c r="Q136">
        <v>8</v>
      </c>
      <c r="R136" t="s">
        <v>1093</v>
      </c>
      <c r="S136" s="18">
        <v>1</v>
      </c>
      <c r="T136" s="18">
        <f>AVERAGE(2,1,1,2,2)</f>
        <v>1.6</v>
      </c>
      <c r="U136" s="16">
        <v>1</v>
      </c>
      <c r="V136" s="16">
        <f>AVERAGE(3,3,4,5,3)</f>
        <v>3.6</v>
      </c>
      <c r="W136" s="16">
        <v>0</v>
      </c>
      <c r="X136" s="16" t="s">
        <v>64</v>
      </c>
      <c r="Y136" s="16">
        <v>0</v>
      </c>
      <c r="Z136" s="16" t="s">
        <v>61</v>
      </c>
      <c r="AA136" s="16" t="s">
        <v>766</v>
      </c>
      <c r="AB136" s="16" t="s">
        <v>766</v>
      </c>
      <c r="AC136" s="20">
        <v>0</v>
      </c>
      <c r="AD136" s="20" t="s">
        <v>64</v>
      </c>
      <c r="AE136" s="16" t="s">
        <v>64</v>
      </c>
      <c r="AF136" s="20" t="s">
        <v>64</v>
      </c>
      <c r="AG136" s="20" t="s">
        <v>64</v>
      </c>
      <c r="AH136" t="s">
        <v>61</v>
      </c>
      <c r="AI136" s="16">
        <v>0</v>
      </c>
      <c r="AJ136" s="16" t="s">
        <v>64</v>
      </c>
      <c r="AK136" s="16" t="s">
        <v>64</v>
      </c>
      <c r="AL136" s="16" t="s">
        <v>64</v>
      </c>
      <c r="AM136" s="16" t="s">
        <v>64</v>
      </c>
      <c r="AN136" s="16" t="s">
        <v>64</v>
      </c>
      <c r="AO136" s="16" t="s">
        <v>64</v>
      </c>
      <c r="AP136" s="16" t="s">
        <v>64</v>
      </c>
      <c r="AQ136" s="16" t="s">
        <v>64</v>
      </c>
      <c r="AR136" t="s">
        <v>64</v>
      </c>
      <c r="AS136" t="s">
        <v>64</v>
      </c>
      <c r="AT136" s="68"/>
    </row>
    <row r="137" spans="1:46">
      <c r="A137" t="s">
        <v>761</v>
      </c>
      <c r="B137" t="s">
        <v>48</v>
      </c>
      <c r="C137" t="s">
        <v>260</v>
      </c>
      <c r="D137" t="s">
        <v>380</v>
      </c>
      <c r="E137" t="s">
        <v>413</v>
      </c>
      <c r="F137" t="s">
        <v>509</v>
      </c>
      <c r="G137" t="s">
        <v>1116</v>
      </c>
      <c r="H137">
        <v>29</v>
      </c>
      <c r="J137" s="15">
        <v>42212</v>
      </c>
      <c r="K137">
        <v>-1.6847775</v>
      </c>
      <c r="L137">
        <v>29.55001232</v>
      </c>
      <c r="M137">
        <v>2190</v>
      </c>
      <c r="N137" t="s">
        <v>64</v>
      </c>
      <c r="O137" t="s">
        <v>1117</v>
      </c>
      <c r="P137" s="131">
        <f>25*4</f>
        <v>100</v>
      </c>
      <c r="Q137">
        <v>8</v>
      </c>
      <c r="R137" t="s">
        <v>1093</v>
      </c>
      <c r="S137" s="18">
        <v>1</v>
      </c>
      <c r="T137" s="18">
        <f>AVERAGE(3,2,3,2,3)</f>
        <v>2.6</v>
      </c>
      <c r="U137" s="16">
        <v>1</v>
      </c>
      <c r="V137" s="16">
        <f>AVERAGE(5,6,5,7,7)</f>
        <v>6</v>
      </c>
      <c r="W137" s="16">
        <v>0</v>
      </c>
      <c r="X137" s="16" t="s">
        <v>64</v>
      </c>
      <c r="Y137" s="16">
        <v>1</v>
      </c>
      <c r="Z137" s="16" t="s">
        <v>61</v>
      </c>
      <c r="AA137" s="16" t="s">
        <v>766</v>
      </c>
      <c r="AB137" s="16" t="s">
        <v>766</v>
      </c>
      <c r="AC137" s="20">
        <v>0</v>
      </c>
      <c r="AD137" s="20" t="s">
        <v>64</v>
      </c>
      <c r="AE137" s="16" t="s">
        <v>64</v>
      </c>
      <c r="AF137" s="20" t="s">
        <v>64</v>
      </c>
      <c r="AG137" s="20" t="s">
        <v>64</v>
      </c>
      <c r="AH137" t="s">
        <v>61</v>
      </c>
      <c r="AI137" s="16">
        <v>0</v>
      </c>
      <c r="AJ137" s="16" t="s">
        <v>64</v>
      </c>
      <c r="AK137" s="16" t="s">
        <v>64</v>
      </c>
      <c r="AL137" s="16" t="s">
        <v>64</v>
      </c>
      <c r="AM137" s="16" t="s">
        <v>64</v>
      </c>
      <c r="AN137" s="16" t="s">
        <v>64</v>
      </c>
      <c r="AO137" s="16" t="s">
        <v>64</v>
      </c>
      <c r="AP137" s="16" t="s">
        <v>64</v>
      </c>
      <c r="AQ137" s="16" t="s">
        <v>64</v>
      </c>
      <c r="AR137" t="s">
        <v>64</v>
      </c>
      <c r="AS137" t="s">
        <v>64</v>
      </c>
      <c r="AT137" s="68"/>
    </row>
    <row r="138" spans="1:46">
      <c r="A138" t="s">
        <v>761</v>
      </c>
      <c r="B138" t="s">
        <v>48</v>
      </c>
      <c r="C138" t="s">
        <v>260</v>
      </c>
      <c r="D138" t="s">
        <v>380</v>
      </c>
      <c r="E138" t="s">
        <v>381</v>
      </c>
      <c r="F138" t="s">
        <v>382</v>
      </c>
      <c r="G138" t="s">
        <v>1118</v>
      </c>
      <c r="H138">
        <v>30</v>
      </c>
      <c r="J138" s="15">
        <v>42212</v>
      </c>
      <c r="K138">
        <v>-1.7255954</v>
      </c>
      <c r="L138">
        <v>29.545770600000001</v>
      </c>
      <c r="M138">
        <v>2127</v>
      </c>
      <c r="N138" t="s">
        <v>64</v>
      </c>
      <c r="O138" t="s">
        <v>1119</v>
      </c>
      <c r="P138" s="131">
        <f>30*8</f>
        <v>240</v>
      </c>
      <c r="Q138">
        <v>8</v>
      </c>
      <c r="R138" t="s">
        <v>1093</v>
      </c>
      <c r="S138" s="18">
        <v>1</v>
      </c>
      <c r="T138" s="18">
        <f>AVERAGE(2,2,3,3,2)</f>
        <v>2.4</v>
      </c>
      <c r="U138" s="16">
        <v>1</v>
      </c>
      <c r="V138" s="16">
        <f>AVERAGE(4,3,4,3,2)</f>
        <v>3.2</v>
      </c>
      <c r="W138" s="16">
        <v>0</v>
      </c>
      <c r="X138" s="16" t="s">
        <v>64</v>
      </c>
      <c r="Y138" s="16">
        <v>2</v>
      </c>
      <c r="Z138" s="16" t="s">
        <v>61</v>
      </c>
      <c r="AA138" s="16" t="s">
        <v>766</v>
      </c>
      <c r="AB138" s="16" t="s">
        <v>766</v>
      </c>
      <c r="AC138" s="20">
        <v>0</v>
      </c>
      <c r="AD138" s="20" t="s">
        <v>64</v>
      </c>
      <c r="AE138" s="16" t="s">
        <v>64</v>
      </c>
      <c r="AF138" s="20" t="s">
        <v>64</v>
      </c>
      <c r="AG138" s="20" t="s">
        <v>64</v>
      </c>
      <c r="AH138" t="s">
        <v>61</v>
      </c>
      <c r="AI138" s="16">
        <v>0</v>
      </c>
      <c r="AJ138" s="16" t="s">
        <v>64</v>
      </c>
      <c r="AK138" s="16" t="s">
        <v>64</v>
      </c>
      <c r="AL138" s="16" t="s">
        <v>64</v>
      </c>
      <c r="AM138" s="16" t="s">
        <v>64</v>
      </c>
      <c r="AN138" s="16" t="s">
        <v>64</v>
      </c>
      <c r="AO138" s="16" t="s">
        <v>64</v>
      </c>
      <c r="AP138" s="16" t="s">
        <v>64</v>
      </c>
      <c r="AQ138" s="16" t="s">
        <v>64</v>
      </c>
      <c r="AR138" t="s">
        <v>64</v>
      </c>
      <c r="AS138" t="s">
        <v>64</v>
      </c>
      <c r="AT138" s="68"/>
    </row>
    <row r="139" spans="1:46">
      <c r="A139" t="s">
        <v>761</v>
      </c>
      <c r="B139" t="s">
        <v>48</v>
      </c>
      <c r="C139" t="s">
        <v>260</v>
      </c>
      <c r="D139" t="s">
        <v>387</v>
      </c>
      <c r="E139" t="s">
        <v>309</v>
      </c>
      <c r="F139" t="s">
        <v>1120</v>
      </c>
      <c r="G139" t="s">
        <v>1121</v>
      </c>
      <c r="H139">
        <v>31</v>
      </c>
      <c r="J139" s="15">
        <v>42212</v>
      </c>
      <c r="K139">
        <v>-1.7763727</v>
      </c>
      <c r="L139">
        <v>29.566192600000001</v>
      </c>
      <c r="M139">
        <v>2284</v>
      </c>
      <c r="N139">
        <v>787608812</v>
      </c>
      <c r="O139" t="s">
        <v>1122</v>
      </c>
      <c r="P139" s="131">
        <f>32*18</f>
        <v>576</v>
      </c>
      <c r="Q139">
        <v>7</v>
      </c>
      <c r="R139" t="s">
        <v>1093</v>
      </c>
      <c r="S139" s="18">
        <v>1</v>
      </c>
      <c r="T139" s="18">
        <f>AVERAGE(2,2,1,1,1)</f>
        <v>1.4</v>
      </c>
      <c r="U139" s="16">
        <v>1</v>
      </c>
      <c r="V139" s="16">
        <f>AVERAGE(4,4,5,4,5)</f>
        <v>4.4000000000000004</v>
      </c>
      <c r="W139" s="16">
        <v>0</v>
      </c>
      <c r="X139" s="16" t="s">
        <v>64</v>
      </c>
      <c r="Y139" s="16">
        <v>1</v>
      </c>
      <c r="Z139" s="16" t="s">
        <v>61</v>
      </c>
      <c r="AA139" s="16" t="s">
        <v>766</v>
      </c>
      <c r="AB139" s="16" t="s">
        <v>766</v>
      </c>
      <c r="AC139" s="20">
        <v>0</v>
      </c>
      <c r="AD139" s="20" t="s">
        <v>64</v>
      </c>
      <c r="AE139" s="16" t="s">
        <v>64</v>
      </c>
      <c r="AF139" s="20" t="s">
        <v>64</v>
      </c>
      <c r="AG139" s="20" t="s">
        <v>64</v>
      </c>
      <c r="AH139" t="s">
        <v>61</v>
      </c>
      <c r="AI139" s="16">
        <v>0</v>
      </c>
      <c r="AJ139" s="16" t="s">
        <v>64</v>
      </c>
      <c r="AK139" s="16" t="s">
        <v>64</v>
      </c>
      <c r="AL139" s="16" t="s">
        <v>64</v>
      </c>
      <c r="AM139" s="16" t="s">
        <v>64</v>
      </c>
      <c r="AN139" s="16" t="s">
        <v>64</v>
      </c>
      <c r="AO139" s="16" t="s">
        <v>64</v>
      </c>
      <c r="AP139" s="16" t="s">
        <v>64</v>
      </c>
      <c r="AQ139" s="16" t="s">
        <v>64</v>
      </c>
      <c r="AR139" t="s">
        <v>64</v>
      </c>
      <c r="AS139" t="s">
        <v>64</v>
      </c>
      <c r="AT139" s="68"/>
    </row>
    <row r="140" spans="1:46">
      <c r="A140" t="s">
        <v>761</v>
      </c>
      <c r="B140" t="s">
        <v>48</v>
      </c>
      <c r="C140" t="s">
        <v>260</v>
      </c>
      <c r="D140" t="s">
        <v>387</v>
      </c>
      <c r="E140" t="s">
        <v>1123</v>
      </c>
      <c r="F140" t="s">
        <v>1124</v>
      </c>
      <c r="G140" t="s">
        <v>1125</v>
      </c>
      <c r="H140">
        <v>32</v>
      </c>
      <c r="J140" s="15">
        <v>42212</v>
      </c>
      <c r="K140">
        <v>-1.7777799999999999</v>
      </c>
      <c r="L140">
        <v>29.61035</v>
      </c>
      <c r="M140">
        <v>1952</v>
      </c>
      <c r="N140" t="s">
        <v>64</v>
      </c>
      <c r="O140" t="s">
        <v>1126</v>
      </c>
      <c r="P140" s="131">
        <f>18*17</f>
        <v>306</v>
      </c>
      <c r="Q140">
        <v>3</v>
      </c>
      <c r="R140" t="s">
        <v>1093</v>
      </c>
      <c r="S140" s="18">
        <v>1</v>
      </c>
      <c r="T140" s="18">
        <f>AVERAGE(2,1,1,1,1)</f>
        <v>1.2</v>
      </c>
      <c r="U140" s="16">
        <v>1</v>
      </c>
      <c r="V140" s="16">
        <f>AVERAGE(4,3,3,4,3)</f>
        <v>3.4</v>
      </c>
      <c r="W140" s="16">
        <v>0</v>
      </c>
      <c r="X140" s="16" t="s">
        <v>64</v>
      </c>
      <c r="Y140" s="16">
        <v>0</v>
      </c>
      <c r="Z140" s="16" t="s">
        <v>782</v>
      </c>
      <c r="AA140" s="16" t="s">
        <v>766</v>
      </c>
      <c r="AB140" s="16" t="s">
        <v>766</v>
      </c>
      <c r="AC140" s="20">
        <v>0</v>
      </c>
      <c r="AD140" s="20" t="s">
        <v>64</v>
      </c>
      <c r="AE140" s="16" t="s">
        <v>64</v>
      </c>
      <c r="AF140" s="20" t="s">
        <v>64</v>
      </c>
      <c r="AG140" s="20" t="s">
        <v>64</v>
      </c>
      <c r="AH140" s="26" t="s">
        <v>76</v>
      </c>
      <c r="AI140" s="16">
        <v>0</v>
      </c>
      <c r="AJ140" s="16" t="s">
        <v>64</v>
      </c>
      <c r="AK140" s="16" t="s">
        <v>64</v>
      </c>
      <c r="AL140" s="16" t="s">
        <v>64</v>
      </c>
      <c r="AM140" s="16" t="s">
        <v>64</v>
      </c>
      <c r="AN140" s="16" t="s">
        <v>64</v>
      </c>
      <c r="AO140" s="16" t="s">
        <v>64</v>
      </c>
      <c r="AP140" s="16" t="s">
        <v>64</v>
      </c>
      <c r="AQ140" s="16" t="s">
        <v>64</v>
      </c>
      <c r="AR140" t="s">
        <v>64</v>
      </c>
      <c r="AS140" t="s">
        <v>64</v>
      </c>
      <c r="AT140" s="68"/>
    </row>
    <row r="141" spans="1:46">
      <c r="A141" t="s">
        <v>761</v>
      </c>
      <c r="B141" t="s">
        <v>48</v>
      </c>
      <c r="C141" t="s">
        <v>260</v>
      </c>
      <c r="D141" t="s">
        <v>387</v>
      </c>
      <c r="E141" t="s">
        <v>434</v>
      </c>
      <c r="F141" t="s">
        <v>1127</v>
      </c>
      <c r="G141" t="s">
        <v>1128</v>
      </c>
      <c r="H141">
        <v>33</v>
      </c>
      <c r="J141" s="15">
        <v>42212</v>
      </c>
      <c r="K141">
        <v>-1.74729</v>
      </c>
      <c r="L141">
        <v>29.619009999999999</v>
      </c>
      <c r="M141">
        <v>1774</v>
      </c>
      <c r="N141">
        <v>784196868</v>
      </c>
      <c r="O141" t="s">
        <v>1129</v>
      </c>
      <c r="P141" s="131">
        <f>20*10</f>
        <v>200</v>
      </c>
      <c r="Q141">
        <v>5</v>
      </c>
      <c r="R141" t="s">
        <v>1038</v>
      </c>
      <c r="S141" s="18">
        <v>1</v>
      </c>
      <c r="T141" s="18">
        <f>AVERAGE(2,1,2,1,1)</f>
        <v>1.4</v>
      </c>
      <c r="U141" s="16">
        <v>1</v>
      </c>
      <c r="V141" s="16">
        <f>AVERAGE(3,2,3,2,3)</f>
        <v>2.6</v>
      </c>
      <c r="W141" s="16">
        <v>0</v>
      </c>
      <c r="X141" s="16" t="s">
        <v>64</v>
      </c>
      <c r="Y141" s="16">
        <v>1</v>
      </c>
      <c r="Z141" s="16" t="s">
        <v>160</v>
      </c>
      <c r="AA141" s="16" t="s">
        <v>766</v>
      </c>
      <c r="AB141" s="16" t="s">
        <v>766</v>
      </c>
      <c r="AC141" s="20">
        <v>0</v>
      </c>
      <c r="AD141" s="20" t="s">
        <v>64</v>
      </c>
      <c r="AE141" s="16" t="s">
        <v>64</v>
      </c>
      <c r="AF141" s="20" t="s">
        <v>64</v>
      </c>
      <c r="AG141" s="20" t="s">
        <v>64</v>
      </c>
      <c r="AH141" s="26" t="s">
        <v>76</v>
      </c>
      <c r="AI141" s="16">
        <v>0</v>
      </c>
      <c r="AJ141" s="16" t="s">
        <v>64</v>
      </c>
      <c r="AK141" s="16" t="s">
        <v>64</v>
      </c>
      <c r="AL141" s="16" t="s">
        <v>64</v>
      </c>
      <c r="AM141" s="16" t="s">
        <v>64</v>
      </c>
      <c r="AN141" s="16" t="s">
        <v>64</v>
      </c>
      <c r="AO141" s="16" t="s">
        <v>64</v>
      </c>
      <c r="AP141" s="16" t="s">
        <v>64</v>
      </c>
      <c r="AQ141" s="16" t="s">
        <v>64</v>
      </c>
      <c r="AR141" t="s">
        <v>64</v>
      </c>
      <c r="AS141" t="s">
        <v>64</v>
      </c>
      <c r="AT141" s="68"/>
    </row>
    <row r="142" spans="1:46">
      <c r="A142" t="s">
        <v>761</v>
      </c>
      <c r="B142" t="s">
        <v>48</v>
      </c>
      <c r="C142" t="s">
        <v>260</v>
      </c>
      <c r="D142" t="s">
        <v>540</v>
      </c>
      <c r="E142" t="s">
        <v>1047</v>
      </c>
      <c r="F142" t="s">
        <v>961</v>
      </c>
      <c r="G142" t="s">
        <v>961</v>
      </c>
      <c r="H142">
        <v>34</v>
      </c>
      <c r="J142" s="15">
        <v>42213</v>
      </c>
      <c r="K142">
        <v>-1.7472799999999999</v>
      </c>
      <c r="L142">
        <v>29.61899</v>
      </c>
      <c r="M142">
        <v>1649</v>
      </c>
      <c r="N142" t="s">
        <v>64</v>
      </c>
      <c r="O142" t="s">
        <v>1130</v>
      </c>
      <c r="P142" s="131">
        <f>15*12</f>
        <v>180</v>
      </c>
      <c r="Q142">
        <v>4</v>
      </c>
      <c r="R142" t="s">
        <v>1046</v>
      </c>
      <c r="S142" s="18">
        <v>1</v>
      </c>
      <c r="T142" s="18">
        <f>AVERAGE(2,3,3,2,4)</f>
        <v>2.8</v>
      </c>
      <c r="U142" s="16">
        <v>1</v>
      </c>
      <c r="V142" s="16">
        <f>AVERAGE(4,3,4,4,7)</f>
        <v>4.4000000000000004</v>
      </c>
      <c r="W142" s="16">
        <v>0</v>
      </c>
      <c r="X142" s="16" t="s">
        <v>64</v>
      </c>
      <c r="Y142" s="16">
        <v>4</v>
      </c>
      <c r="Z142" s="16" t="s">
        <v>61</v>
      </c>
      <c r="AA142" s="16" t="s">
        <v>766</v>
      </c>
      <c r="AB142" s="16" t="s">
        <v>766</v>
      </c>
      <c r="AC142" s="20">
        <v>0</v>
      </c>
      <c r="AD142" s="20" t="s">
        <v>64</v>
      </c>
      <c r="AE142" s="16" t="s">
        <v>64</v>
      </c>
      <c r="AF142" s="20" t="s">
        <v>64</v>
      </c>
      <c r="AG142" s="20" t="s">
        <v>64</v>
      </c>
      <c r="AH142" t="s">
        <v>61</v>
      </c>
      <c r="AI142" s="16">
        <v>1</v>
      </c>
      <c r="AJ142" s="16">
        <v>0</v>
      </c>
      <c r="AK142" s="16">
        <v>0</v>
      </c>
      <c r="AL142" s="137">
        <f>2/45*100</f>
        <v>4.4444444444444446</v>
      </c>
      <c r="AM142" s="137">
        <f>0.11/1.41*100</f>
        <v>7.8014184397163122</v>
      </c>
      <c r="AN142" s="62">
        <v>1</v>
      </c>
      <c r="AO142" s="62">
        <v>25</v>
      </c>
      <c r="AP142" s="16" t="s">
        <v>64</v>
      </c>
      <c r="AQ142" s="16" t="s">
        <v>64</v>
      </c>
      <c r="AR142" t="s">
        <v>64</v>
      </c>
      <c r="AS142" t="s">
        <v>64</v>
      </c>
      <c r="AT142" s="68"/>
    </row>
    <row r="143" spans="1:46">
      <c r="A143" t="s">
        <v>761</v>
      </c>
      <c r="B143" t="s">
        <v>48</v>
      </c>
      <c r="C143" t="s">
        <v>260</v>
      </c>
      <c r="D143" t="s">
        <v>540</v>
      </c>
      <c r="E143" t="s">
        <v>1077</v>
      </c>
      <c r="F143" t="s">
        <v>1078</v>
      </c>
      <c r="G143" t="s">
        <v>1077</v>
      </c>
      <c r="H143">
        <v>35</v>
      </c>
      <c r="J143" s="15">
        <v>42213</v>
      </c>
      <c r="K143">
        <v>-1.5639799999999999</v>
      </c>
      <c r="L143">
        <v>29.74484</v>
      </c>
      <c r="M143">
        <v>1900</v>
      </c>
      <c r="N143">
        <v>783336300</v>
      </c>
      <c r="O143" t="s">
        <v>1131</v>
      </c>
      <c r="P143" s="131">
        <f>60*8</f>
        <v>480</v>
      </c>
      <c r="Q143">
        <v>5</v>
      </c>
      <c r="R143" t="s">
        <v>1132</v>
      </c>
      <c r="S143" s="18">
        <v>1</v>
      </c>
      <c r="T143" s="18">
        <f>AVERAGE(3,2,2,3,3)</f>
        <v>2.6</v>
      </c>
      <c r="U143" s="16">
        <v>1</v>
      </c>
      <c r="V143" s="16">
        <f>AVERAGE(3,3,5,7,5)</f>
        <v>4.5999999999999996</v>
      </c>
      <c r="W143" s="16">
        <v>0</v>
      </c>
      <c r="X143" s="16" t="s">
        <v>64</v>
      </c>
      <c r="Y143" s="16">
        <v>0</v>
      </c>
      <c r="Z143" s="16" t="s">
        <v>61</v>
      </c>
      <c r="AA143" s="16" t="s">
        <v>766</v>
      </c>
      <c r="AB143" s="16" t="s">
        <v>766</v>
      </c>
      <c r="AC143" s="20">
        <v>0</v>
      </c>
      <c r="AD143" s="20" t="s">
        <v>64</v>
      </c>
      <c r="AE143" s="16" t="s">
        <v>64</v>
      </c>
      <c r="AF143" s="20" t="s">
        <v>64</v>
      </c>
      <c r="AG143" s="20" t="s">
        <v>64</v>
      </c>
      <c r="AH143" s="26" t="s">
        <v>76</v>
      </c>
      <c r="AI143" s="16">
        <v>0</v>
      </c>
      <c r="AJ143" s="16" t="s">
        <v>64</v>
      </c>
      <c r="AK143" s="16" t="s">
        <v>64</v>
      </c>
      <c r="AL143" s="16" t="s">
        <v>64</v>
      </c>
      <c r="AM143" s="16" t="s">
        <v>64</v>
      </c>
      <c r="AN143" s="16" t="s">
        <v>64</v>
      </c>
      <c r="AO143" s="16" t="s">
        <v>64</v>
      </c>
      <c r="AP143" s="16" t="s">
        <v>64</v>
      </c>
      <c r="AQ143" s="16" t="s">
        <v>64</v>
      </c>
      <c r="AR143" t="s">
        <v>64</v>
      </c>
      <c r="AS143" t="s">
        <v>64</v>
      </c>
      <c r="AT143" s="68"/>
    </row>
    <row r="144" spans="1:46">
      <c r="A144" t="s">
        <v>761</v>
      </c>
      <c r="B144" t="s">
        <v>48</v>
      </c>
      <c r="C144" t="s">
        <v>260</v>
      </c>
      <c r="D144" t="s">
        <v>540</v>
      </c>
      <c r="E144" t="s">
        <v>1133</v>
      </c>
      <c r="F144" t="s">
        <v>1134</v>
      </c>
      <c r="G144" t="s">
        <v>1135</v>
      </c>
      <c r="H144">
        <v>36</v>
      </c>
      <c r="J144" s="15">
        <v>42213</v>
      </c>
      <c r="K144">
        <v>-1.6182700000000001</v>
      </c>
      <c r="L144">
        <v>29.76924</v>
      </c>
      <c r="M144">
        <v>2067</v>
      </c>
      <c r="N144" t="s">
        <v>64</v>
      </c>
      <c r="O144" t="s">
        <v>1136</v>
      </c>
      <c r="P144" s="131">
        <f>30*10</f>
        <v>300</v>
      </c>
      <c r="Q144">
        <v>6</v>
      </c>
      <c r="R144" t="s">
        <v>1046</v>
      </c>
      <c r="S144" s="18">
        <v>1</v>
      </c>
      <c r="T144" s="18">
        <f>AVERAGE(2,2,2,3,3)</f>
        <v>2.4</v>
      </c>
      <c r="U144" s="16">
        <v>1</v>
      </c>
      <c r="V144" s="16">
        <f>AVERAGE(4,5,5,4,5)</f>
        <v>4.5999999999999996</v>
      </c>
      <c r="W144" s="16">
        <v>0</v>
      </c>
      <c r="X144" s="16" t="s">
        <v>64</v>
      </c>
      <c r="Y144" s="16">
        <v>1</v>
      </c>
      <c r="Z144" s="16" t="s">
        <v>61</v>
      </c>
      <c r="AA144" s="16" t="s">
        <v>766</v>
      </c>
      <c r="AB144" s="16" t="s">
        <v>766</v>
      </c>
      <c r="AC144" s="20">
        <v>0</v>
      </c>
      <c r="AD144" s="20" t="s">
        <v>64</v>
      </c>
      <c r="AE144" s="16" t="s">
        <v>64</v>
      </c>
      <c r="AF144" s="20" t="s">
        <v>64</v>
      </c>
      <c r="AG144" s="20" t="s">
        <v>64</v>
      </c>
      <c r="AH144" t="s">
        <v>61</v>
      </c>
      <c r="AI144" s="16">
        <v>1</v>
      </c>
      <c r="AJ144" s="16">
        <f>1/15*100</f>
        <v>6.666666666666667</v>
      </c>
      <c r="AK144" s="16">
        <v>2</v>
      </c>
      <c r="AL144" s="137">
        <v>0</v>
      </c>
      <c r="AM144" s="137">
        <v>0</v>
      </c>
      <c r="AN144" s="62">
        <v>0</v>
      </c>
      <c r="AO144" s="62">
        <v>0</v>
      </c>
      <c r="AP144" s="16" t="s">
        <v>64</v>
      </c>
      <c r="AQ144" s="16" t="s">
        <v>64</v>
      </c>
      <c r="AR144" t="s">
        <v>64</v>
      </c>
      <c r="AS144" t="s">
        <v>64</v>
      </c>
      <c r="AT144" s="68"/>
    </row>
    <row r="145" spans="1:48">
      <c r="A145" t="s">
        <v>761</v>
      </c>
      <c r="B145" t="s">
        <v>48</v>
      </c>
      <c r="C145" t="s">
        <v>260</v>
      </c>
      <c r="D145" t="s">
        <v>540</v>
      </c>
      <c r="E145" t="s">
        <v>540</v>
      </c>
      <c r="F145" t="s">
        <v>1137</v>
      </c>
      <c r="G145" t="s">
        <v>1138</v>
      </c>
      <c r="H145">
        <v>37</v>
      </c>
      <c r="J145" s="15">
        <v>42213</v>
      </c>
      <c r="K145">
        <v>-1.6596761</v>
      </c>
      <c r="L145">
        <v>29.772687900000001</v>
      </c>
      <c r="M145">
        <v>1821</v>
      </c>
      <c r="N145">
        <v>782919022</v>
      </c>
      <c r="O145" t="s">
        <v>1139</v>
      </c>
      <c r="P145" s="131">
        <f>25*10</f>
        <v>250</v>
      </c>
      <c r="Q145">
        <v>7</v>
      </c>
      <c r="R145" t="s">
        <v>1132</v>
      </c>
      <c r="S145" s="18">
        <v>1</v>
      </c>
      <c r="T145" s="18">
        <f>AVERAGE(2,1,1,2,1)</f>
        <v>1.4</v>
      </c>
      <c r="U145" s="16">
        <v>1</v>
      </c>
      <c r="V145" s="16">
        <f>AVERAGE(2,2,3,4,3)</f>
        <v>2.8</v>
      </c>
      <c r="W145" s="16">
        <v>0</v>
      </c>
      <c r="X145" s="16" t="s">
        <v>64</v>
      </c>
      <c r="Y145" s="16">
        <v>1</v>
      </c>
      <c r="Z145" s="16" t="s">
        <v>61</v>
      </c>
      <c r="AA145" s="16" t="s">
        <v>766</v>
      </c>
      <c r="AB145" s="16" t="s">
        <v>766</v>
      </c>
      <c r="AC145" s="20">
        <v>0</v>
      </c>
      <c r="AD145" s="20" t="s">
        <v>64</v>
      </c>
      <c r="AE145" s="16" t="s">
        <v>64</v>
      </c>
      <c r="AF145" s="20" t="s">
        <v>64</v>
      </c>
      <c r="AG145" s="20" t="s">
        <v>64</v>
      </c>
      <c r="AH145" t="s">
        <v>61</v>
      </c>
      <c r="AI145" s="16">
        <v>1</v>
      </c>
      <c r="AJ145" s="16">
        <v>0</v>
      </c>
      <c r="AK145" s="16">
        <v>0</v>
      </c>
      <c r="AL145" s="137">
        <f>2/68*100</f>
        <v>2.9411764705882351</v>
      </c>
      <c r="AM145" s="137">
        <f>0.09/3.41*100</f>
        <v>2.6392961876832843</v>
      </c>
      <c r="AN145" s="62">
        <v>4</v>
      </c>
      <c r="AO145" s="62">
        <v>0</v>
      </c>
      <c r="AP145" s="16" t="s">
        <v>64</v>
      </c>
      <c r="AQ145" s="16" t="s">
        <v>64</v>
      </c>
      <c r="AR145" t="s">
        <v>64</v>
      </c>
      <c r="AS145" t="s">
        <v>64</v>
      </c>
      <c r="AT145" s="68"/>
    </row>
    <row r="146" spans="1:48">
      <c r="A146" t="s">
        <v>761</v>
      </c>
      <c r="B146" t="s">
        <v>48</v>
      </c>
      <c r="C146" t="s">
        <v>260</v>
      </c>
      <c r="D146" t="s">
        <v>540</v>
      </c>
      <c r="E146" t="s">
        <v>540</v>
      </c>
      <c r="F146" t="s">
        <v>1140</v>
      </c>
      <c r="G146" t="s">
        <v>1141</v>
      </c>
      <c r="H146">
        <v>38</v>
      </c>
      <c r="J146" s="15">
        <v>42213</v>
      </c>
      <c r="K146">
        <v>-1.6913199999999999</v>
      </c>
      <c r="L146">
        <v>29.762879999999999</v>
      </c>
      <c r="M146">
        <v>1781</v>
      </c>
      <c r="N146" t="s">
        <v>64</v>
      </c>
      <c r="O146" t="s">
        <v>1142</v>
      </c>
      <c r="P146" s="131">
        <f>9*18</f>
        <v>162</v>
      </c>
      <c r="Q146">
        <v>7</v>
      </c>
      <c r="R146" t="s">
        <v>1046</v>
      </c>
      <c r="S146" s="18">
        <v>1</v>
      </c>
      <c r="T146" s="18">
        <f>AVERAGE(2,3,2,2,1)</f>
        <v>2</v>
      </c>
      <c r="U146" s="16">
        <v>1</v>
      </c>
      <c r="V146" s="16">
        <f>AVERAGE(3,4,5,7,7)</f>
        <v>5.2</v>
      </c>
      <c r="W146" s="16">
        <v>0</v>
      </c>
      <c r="X146" s="16" t="s">
        <v>64</v>
      </c>
      <c r="Y146" s="16">
        <v>4</v>
      </c>
      <c r="Z146" s="16" t="s">
        <v>61</v>
      </c>
      <c r="AA146" s="16" t="s">
        <v>766</v>
      </c>
      <c r="AB146" s="16" t="s">
        <v>766</v>
      </c>
      <c r="AC146" s="20">
        <v>0</v>
      </c>
      <c r="AD146" s="20" t="s">
        <v>64</v>
      </c>
      <c r="AE146" s="16" t="s">
        <v>64</v>
      </c>
      <c r="AF146" s="20" t="s">
        <v>64</v>
      </c>
      <c r="AG146" s="20" t="s">
        <v>64</v>
      </c>
      <c r="AH146" t="s">
        <v>61</v>
      </c>
      <c r="AI146" s="16">
        <v>0</v>
      </c>
      <c r="AJ146" s="16" t="s">
        <v>64</v>
      </c>
      <c r="AK146" s="16" t="s">
        <v>64</v>
      </c>
      <c r="AL146" s="16" t="s">
        <v>64</v>
      </c>
      <c r="AM146" s="16" t="s">
        <v>64</v>
      </c>
      <c r="AN146" s="16" t="s">
        <v>64</v>
      </c>
      <c r="AO146" s="16" t="s">
        <v>64</v>
      </c>
      <c r="AP146" s="16" t="s">
        <v>64</v>
      </c>
      <c r="AQ146" s="16" t="s">
        <v>64</v>
      </c>
      <c r="AR146" t="s">
        <v>64</v>
      </c>
      <c r="AS146" t="s">
        <v>64</v>
      </c>
      <c r="AT146" s="68"/>
    </row>
    <row r="147" spans="1:48">
      <c r="A147" t="s">
        <v>761</v>
      </c>
      <c r="B147" t="s">
        <v>48</v>
      </c>
      <c r="C147" t="s">
        <v>260</v>
      </c>
      <c r="D147" t="s">
        <v>540</v>
      </c>
      <c r="E147" t="s">
        <v>1143</v>
      </c>
      <c r="F147" t="s">
        <v>515</v>
      </c>
      <c r="G147" t="s">
        <v>1144</v>
      </c>
      <c r="H147">
        <v>39</v>
      </c>
      <c r="J147" s="15">
        <v>42213</v>
      </c>
      <c r="K147">
        <v>-1.7085300000000001</v>
      </c>
      <c r="L147">
        <v>29.766169999999999</v>
      </c>
      <c r="M147">
        <v>1843</v>
      </c>
      <c r="N147" t="s">
        <v>64</v>
      </c>
      <c r="O147" t="s">
        <v>1145</v>
      </c>
      <c r="P147" s="131">
        <f>11*12</f>
        <v>132</v>
      </c>
      <c r="Q147">
        <v>7</v>
      </c>
      <c r="R147" t="s">
        <v>1046</v>
      </c>
      <c r="S147" s="18">
        <v>1</v>
      </c>
      <c r="T147" s="18">
        <f>AVERAGE(2,3,3,3,2)</f>
        <v>2.6</v>
      </c>
      <c r="U147" s="16">
        <v>1</v>
      </c>
      <c r="V147" s="16">
        <f>AVERAGE(4,5,6,4,7)</f>
        <v>5.2</v>
      </c>
      <c r="W147" s="16">
        <v>0</v>
      </c>
      <c r="X147" s="16" t="s">
        <v>64</v>
      </c>
      <c r="Y147" s="16">
        <v>1</v>
      </c>
      <c r="Z147" s="16" t="s">
        <v>61</v>
      </c>
      <c r="AA147" s="16" t="s">
        <v>766</v>
      </c>
      <c r="AB147" s="16" t="s">
        <v>766</v>
      </c>
      <c r="AC147" s="20">
        <v>0</v>
      </c>
      <c r="AD147" s="20" t="s">
        <v>64</v>
      </c>
      <c r="AE147" s="16" t="s">
        <v>64</v>
      </c>
      <c r="AF147" s="20" t="s">
        <v>64</v>
      </c>
      <c r="AG147" s="20" t="s">
        <v>64</v>
      </c>
      <c r="AH147" t="s">
        <v>61</v>
      </c>
      <c r="AI147" s="16">
        <v>1</v>
      </c>
      <c r="AJ147" s="16">
        <v>0</v>
      </c>
      <c r="AK147" s="16">
        <v>0</v>
      </c>
      <c r="AL147" s="137">
        <f>3/67*100</f>
        <v>4.4776119402985071</v>
      </c>
      <c r="AM147" s="137">
        <f>0.22/2.56*100</f>
        <v>8.59375</v>
      </c>
      <c r="AN147" s="62">
        <v>28</v>
      </c>
      <c r="AO147" s="62">
        <v>10</v>
      </c>
      <c r="AP147" s="16" t="s">
        <v>64</v>
      </c>
      <c r="AQ147" s="16" t="s">
        <v>64</v>
      </c>
      <c r="AR147" t="s">
        <v>64</v>
      </c>
      <c r="AS147" t="s">
        <v>64</v>
      </c>
      <c r="AT147" s="68"/>
    </row>
    <row r="148" spans="1:48">
      <c r="A148" t="s">
        <v>761</v>
      </c>
      <c r="B148" t="s">
        <v>48</v>
      </c>
      <c r="C148" t="s">
        <v>260</v>
      </c>
      <c r="D148" t="s">
        <v>540</v>
      </c>
      <c r="E148" t="s">
        <v>1143</v>
      </c>
      <c r="F148" t="s">
        <v>515</v>
      </c>
      <c r="G148" t="s">
        <v>1143</v>
      </c>
      <c r="H148">
        <v>40</v>
      </c>
      <c r="J148" s="15">
        <v>42213</v>
      </c>
      <c r="K148">
        <v>-1.71776</v>
      </c>
      <c r="L148">
        <v>29.74502</v>
      </c>
      <c r="M148">
        <v>1847</v>
      </c>
      <c r="N148" t="s">
        <v>64</v>
      </c>
      <c r="O148" t="s">
        <v>1146</v>
      </c>
      <c r="P148" s="131">
        <f>28*23</f>
        <v>644</v>
      </c>
      <c r="Q148">
        <v>3</v>
      </c>
      <c r="R148" t="s">
        <v>1046</v>
      </c>
      <c r="S148" s="18">
        <v>1</v>
      </c>
      <c r="T148" s="18">
        <f>AVERAGE(4,3,1,2,1)</f>
        <v>2.2000000000000002</v>
      </c>
      <c r="U148" s="16">
        <v>1</v>
      </c>
      <c r="V148" s="16">
        <f>AVERAGE(4,5,4,3,2)</f>
        <v>3.6</v>
      </c>
      <c r="W148" s="16">
        <v>0</v>
      </c>
      <c r="X148" s="16" t="s">
        <v>64</v>
      </c>
      <c r="Y148" s="16">
        <v>0</v>
      </c>
      <c r="Z148" s="16" t="s">
        <v>61</v>
      </c>
      <c r="AA148" s="16" t="s">
        <v>766</v>
      </c>
      <c r="AB148" s="16" t="s">
        <v>766</v>
      </c>
      <c r="AC148" s="20">
        <v>0</v>
      </c>
      <c r="AD148" s="20" t="s">
        <v>64</v>
      </c>
      <c r="AE148" s="16" t="s">
        <v>64</v>
      </c>
      <c r="AF148" s="20" t="s">
        <v>64</v>
      </c>
      <c r="AG148" s="20" t="s">
        <v>64</v>
      </c>
      <c r="AH148" t="s">
        <v>61</v>
      </c>
      <c r="AI148" s="16">
        <v>0</v>
      </c>
      <c r="AJ148" s="16" t="s">
        <v>64</v>
      </c>
      <c r="AK148" s="16" t="s">
        <v>64</v>
      </c>
      <c r="AL148" s="16" t="s">
        <v>64</v>
      </c>
      <c r="AM148" s="16" t="s">
        <v>64</v>
      </c>
      <c r="AN148" s="16" t="s">
        <v>64</v>
      </c>
      <c r="AO148" s="16" t="s">
        <v>64</v>
      </c>
      <c r="AP148" s="16" t="s">
        <v>64</v>
      </c>
      <c r="AQ148" s="16" t="s">
        <v>64</v>
      </c>
      <c r="AR148" t="s">
        <v>64</v>
      </c>
      <c r="AS148" t="s">
        <v>64</v>
      </c>
      <c r="AT148" s="68"/>
    </row>
    <row r="149" spans="1:48">
      <c r="A149" t="s">
        <v>761</v>
      </c>
      <c r="B149" t="s">
        <v>48</v>
      </c>
      <c r="C149" t="s">
        <v>260</v>
      </c>
      <c r="D149" t="s">
        <v>307</v>
      </c>
      <c r="E149" t="s">
        <v>361</v>
      </c>
      <c r="F149" t="s">
        <v>1147</v>
      </c>
      <c r="G149" t="s">
        <v>1148</v>
      </c>
      <c r="H149">
        <v>41</v>
      </c>
      <c r="J149" s="15">
        <v>42215</v>
      </c>
      <c r="K149">
        <v>-1.5012099999999999</v>
      </c>
      <c r="L149">
        <v>29.632930000000002</v>
      </c>
      <c r="M149">
        <v>2021</v>
      </c>
      <c r="N149">
        <v>783778757</v>
      </c>
      <c r="O149" t="s">
        <v>1149</v>
      </c>
      <c r="P149" s="131">
        <f>35*20</f>
        <v>700</v>
      </c>
      <c r="Q149">
        <v>5</v>
      </c>
      <c r="R149" t="s">
        <v>1132</v>
      </c>
      <c r="S149" s="18">
        <v>1</v>
      </c>
      <c r="T149" s="18">
        <f>AVERAGE(2,1,1,2)</f>
        <v>1.5</v>
      </c>
      <c r="U149" s="16">
        <v>1</v>
      </c>
      <c r="V149" s="16">
        <f>AVERAGE(3,4,2,3)</f>
        <v>3</v>
      </c>
      <c r="W149" s="16">
        <v>1</v>
      </c>
      <c r="X149" s="16">
        <v>2</v>
      </c>
      <c r="Y149" s="16">
        <v>3</v>
      </c>
      <c r="Z149" s="16" t="s">
        <v>61</v>
      </c>
      <c r="AA149" s="16" t="s">
        <v>766</v>
      </c>
      <c r="AB149" s="16" t="s">
        <v>766</v>
      </c>
      <c r="AC149" s="20">
        <v>0</v>
      </c>
      <c r="AD149" s="20" t="s">
        <v>64</v>
      </c>
      <c r="AE149" s="16" t="s">
        <v>64</v>
      </c>
      <c r="AF149" s="20" t="s">
        <v>64</v>
      </c>
      <c r="AG149" s="20" t="s">
        <v>64</v>
      </c>
      <c r="AH149" t="s">
        <v>61</v>
      </c>
      <c r="AI149" s="16">
        <v>1</v>
      </c>
      <c r="AJ149" s="16">
        <v>0</v>
      </c>
      <c r="AK149" s="16">
        <v>0</v>
      </c>
      <c r="AL149" s="137">
        <f>2/28*100</f>
        <v>7.1428571428571423</v>
      </c>
      <c r="AM149" s="137">
        <f>0.05/1.12*100</f>
        <v>4.4642857142857144</v>
      </c>
      <c r="AN149" s="62">
        <v>0</v>
      </c>
      <c r="AO149" s="62">
        <v>0</v>
      </c>
      <c r="AP149" s="16" t="s">
        <v>64</v>
      </c>
      <c r="AQ149" s="16" t="s">
        <v>64</v>
      </c>
      <c r="AR149" t="s">
        <v>64</v>
      </c>
      <c r="AS149" t="s">
        <v>64</v>
      </c>
      <c r="AT149" s="68"/>
    </row>
    <row r="150" spans="1:48" s="16" customFormat="1">
      <c r="A150" t="s">
        <v>761</v>
      </c>
      <c r="B150" t="s">
        <v>48</v>
      </c>
      <c r="C150" t="s">
        <v>260</v>
      </c>
      <c r="D150" t="s">
        <v>307</v>
      </c>
      <c r="E150" t="s">
        <v>361</v>
      </c>
      <c r="F150" t="s">
        <v>473</v>
      </c>
      <c r="G150" t="s">
        <v>1150</v>
      </c>
      <c r="H150">
        <v>42</v>
      </c>
      <c r="I150"/>
      <c r="J150" s="15">
        <v>42215</v>
      </c>
      <c r="K150">
        <v>-1.39771</v>
      </c>
      <c r="L150">
        <v>29.869409999999998</v>
      </c>
      <c r="M150">
        <v>2222</v>
      </c>
      <c r="N150">
        <v>781618102</v>
      </c>
      <c r="O150" t="s">
        <v>1151</v>
      </c>
      <c r="P150" s="131">
        <f>8*12</f>
        <v>96</v>
      </c>
      <c r="Q150">
        <v>3</v>
      </c>
      <c r="R150" t="s">
        <v>1093</v>
      </c>
      <c r="S150" s="18">
        <v>1</v>
      </c>
      <c r="T150" s="18">
        <f>AVERAGE(1,1,1,2,2)</f>
        <v>1.4</v>
      </c>
      <c r="U150" s="16">
        <v>1</v>
      </c>
      <c r="V150" s="16">
        <f>AVERAGE(3,2,3,2,3)</f>
        <v>2.6</v>
      </c>
      <c r="W150" s="16">
        <v>0</v>
      </c>
      <c r="X150" s="16" t="s">
        <v>64</v>
      </c>
      <c r="Y150" s="16">
        <v>0</v>
      </c>
      <c r="Z150" s="16" t="s">
        <v>61</v>
      </c>
      <c r="AA150" s="16" t="s">
        <v>766</v>
      </c>
      <c r="AB150" s="16" t="s">
        <v>766</v>
      </c>
      <c r="AC150" s="20">
        <v>0</v>
      </c>
      <c r="AD150" s="20" t="s">
        <v>64</v>
      </c>
      <c r="AE150" s="16" t="s">
        <v>64</v>
      </c>
      <c r="AF150" s="20" t="s">
        <v>64</v>
      </c>
      <c r="AG150" s="20" t="s">
        <v>64</v>
      </c>
      <c r="AH150" t="s">
        <v>61</v>
      </c>
      <c r="AI150" s="16">
        <v>1</v>
      </c>
      <c r="AJ150" s="16">
        <v>0</v>
      </c>
      <c r="AK150" s="16">
        <v>0</v>
      </c>
      <c r="AL150" s="137">
        <f>5/49*100</f>
        <v>10.204081632653061</v>
      </c>
      <c r="AM150" s="137">
        <f>0.21/1.13*100</f>
        <v>18.584070796460178</v>
      </c>
      <c r="AN150" s="62">
        <v>0</v>
      </c>
      <c r="AO150" s="62">
        <v>0</v>
      </c>
      <c r="AP150" s="16" t="s">
        <v>64</v>
      </c>
      <c r="AQ150" s="16" t="s">
        <v>64</v>
      </c>
      <c r="AR150" t="s">
        <v>64</v>
      </c>
      <c r="AS150" t="s">
        <v>64</v>
      </c>
      <c r="AT150" s="68"/>
      <c r="AU150"/>
      <c r="AV150"/>
    </row>
    <row r="151" spans="1:48">
      <c r="A151" t="s">
        <v>761</v>
      </c>
      <c r="B151" t="s">
        <v>48</v>
      </c>
      <c r="C151" t="s">
        <v>260</v>
      </c>
      <c r="D151" t="s">
        <v>307</v>
      </c>
      <c r="E151" t="s">
        <v>361</v>
      </c>
      <c r="F151" t="s">
        <v>473</v>
      </c>
      <c r="G151" t="s">
        <v>1152</v>
      </c>
      <c r="H151">
        <v>43</v>
      </c>
      <c r="J151" s="15">
        <v>42215</v>
      </c>
      <c r="K151">
        <v>-1.37948</v>
      </c>
      <c r="L151">
        <v>29.87181</v>
      </c>
      <c r="M151">
        <v>2305</v>
      </c>
      <c r="N151" t="s">
        <v>64</v>
      </c>
      <c r="O151" t="s">
        <v>1153</v>
      </c>
      <c r="P151" s="131">
        <f>34*12</f>
        <v>408</v>
      </c>
      <c r="Q151">
        <v>7</v>
      </c>
      <c r="R151" t="s">
        <v>1072</v>
      </c>
      <c r="S151" s="18">
        <v>1</v>
      </c>
      <c r="T151" s="18">
        <f>AVERAGE(1,1,1,2,2)</f>
        <v>1.4</v>
      </c>
      <c r="U151" s="16">
        <v>1</v>
      </c>
      <c r="V151" s="16">
        <f>AVERAGE(3,2,2,3,5)</f>
        <v>3</v>
      </c>
      <c r="W151" s="16">
        <v>0</v>
      </c>
      <c r="X151" s="16" t="s">
        <v>64</v>
      </c>
      <c r="Y151" s="16">
        <v>0</v>
      </c>
      <c r="Z151" s="16" t="s">
        <v>61</v>
      </c>
      <c r="AA151" s="16" t="s">
        <v>766</v>
      </c>
      <c r="AB151" s="16" t="s">
        <v>766</v>
      </c>
      <c r="AC151" s="20">
        <v>0</v>
      </c>
      <c r="AD151" s="20" t="s">
        <v>64</v>
      </c>
      <c r="AE151" s="16" t="s">
        <v>64</v>
      </c>
      <c r="AF151" s="20" t="s">
        <v>64</v>
      </c>
      <c r="AG151" s="20" t="s">
        <v>64</v>
      </c>
      <c r="AH151" t="s">
        <v>61</v>
      </c>
      <c r="AI151" s="16">
        <v>0</v>
      </c>
      <c r="AJ151" s="16" t="s">
        <v>64</v>
      </c>
      <c r="AK151" s="16" t="s">
        <v>64</v>
      </c>
      <c r="AL151" s="16" t="s">
        <v>64</v>
      </c>
      <c r="AM151" s="16" t="s">
        <v>64</v>
      </c>
      <c r="AN151" s="16" t="s">
        <v>64</v>
      </c>
      <c r="AO151" s="16" t="s">
        <v>64</v>
      </c>
      <c r="AP151" s="16" t="s">
        <v>64</v>
      </c>
      <c r="AQ151" s="16" t="s">
        <v>64</v>
      </c>
      <c r="AR151" t="s">
        <v>64</v>
      </c>
      <c r="AS151" t="s">
        <v>64</v>
      </c>
      <c r="AT151" s="68"/>
    </row>
    <row r="152" spans="1:48">
      <c r="A152" t="s">
        <v>761</v>
      </c>
      <c r="B152" t="s">
        <v>48</v>
      </c>
      <c r="C152" t="s">
        <v>260</v>
      </c>
      <c r="D152" t="s">
        <v>307</v>
      </c>
      <c r="E152" t="s">
        <v>361</v>
      </c>
      <c r="F152" t="s">
        <v>362</v>
      </c>
      <c r="G152" t="s">
        <v>1154</v>
      </c>
      <c r="H152">
        <v>44</v>
      </c>
      <c r="J152" s="15">
        <v>42215</v>
      </c>
      <c r="K152">
        <v>-1.4031199999999999</v>
      </c>
      <c r="L152">
        <v>29.843710000000002</v>
      </c>
      <c r="M152">
        <v>2121</v>
      </c>
      <c r="N152">
        <v>781295282</v>
      </c>
      <c r="O152" t="s">
        <v>1155</v>
      </c>
      <c r="P152" s="131">
        <f>5*10</f>
        <v>50</v>
      </c>
      <c r="Q152">
        <v>3</v>
      </c>
      <c r="R152" t="s">
        <v>1072</v>
      </c>
      <c r="S152" s="18">
        <v>1</v>
      </c>
      <c r="T152" s="18">
        <f>AVERAGE(1,1,2,1,1)</f>
        <v>1.2</v>
      </c>
      <c r="U152" s="16">
        <v>1</v>
      </c>
      <c r="V152" s="16">
        <f>AVERAGE(2,2,2,2,2)</f>
        <v>2</v>
      </c>
      <c r="W152" s="16">
        <v>0</v>
      </c>
      <c r="X152" s="16" t="s">
        <v>64</v>
      </c>
      <c r="Y152" s="16">
        <v>0</v>
      </c>
      <c r="Z152" s="16" t="s">
        <v>61</v>
      </c>
      <c r="AA152" s="16" t="s">
        <v>766</v>
      </c>
      <c r="AB152" s="16" t="s">
        <v>766</v>
      </c>
      <c r="AC152" s="20">
        <v>0</v>
      </c>
      <c r="AD152" s="20" t="s">
        <v>64</v>
      </c>
      <c r="AE152" s="16" t="s">
        <v>64</v>
      </c>
      <c r="AF152" s="20" t="s">
        <v>64</v>
      </c>
      <c r="AG152" s="20" t="s">
        <v>64</v>
      </c>
      <c r="AH152" s="26" t="s">
        <v>76</v>
      </c>
      <c r="AI152" s="16">
        <v>0</v>
      </c>
      <c r="AJ152" s="16" t="s">
        <v>64</v>
      </c>
      <c r="AK152" s="16" t="s">
        <v>64</v>
      </c>
      <c r="AL152" s="16" t="s">
        <v>64</v>
      </c>
      <c r="AM152" s="16" t="s">
        <v>64</v>
      </c>
      <c r="AN152" s="16" t="s">
        <v>64</v>
      </c>
      <c r="AO152" s="16" t="s">
        <v>64</v>
      </c>
      <c r="AP152" s="16" t="s">
        <v>64</v>
      </c>
      <c r="AQ152" s="16" t="s">
        <v>64</v>
      </c>
      <c r="AR152" t="s">
        <v>64</v>
      </c>
      <c r="AS152" t="s">
        <v>64</v>
      </c>
      <c r="AT152" s="68"/>
    </row>
    <row r="153" spans="1:48">
      <c r="A153" t="s">
        <v>761</v>
      </c>
      <c r="B153" t="s">
        <v>48</v>
      </c>
      <c r="C153" t="s">
        <v>260</v>
      </c>
      <c r="D153" t="s">
        <v>307</v>
      </c>
      <c r="E153" t="s">
        <v>361</v>
      </c>
      <c r="F153" t="s">
        <v>1156</v>
      </c>
      <c r="G153" t="s">
        <v>952</v>
      </c>
      <c r="H153">
        <v>45</v>
      </c>
      <c r="J153" s="15">
        <v>42215</v>
      </c>
      <c r="K153">
        <v>-1.4031100000000001</v>
      </c>
      <c r="L153">
        <v>29.843730000000001</v>
      </c>
      <c r="M153">
        <v>2089</v>
      </c>
      <c r="N153" t="s">
        <v>64</v>
      </c>
      <c r="O153" t="s">
        <v>1157</v>
      </c>
      <c r="P153" s="131">
        <f>26*15</f>
        <v>390</v>
      </c>
      <c r="Q153">
        <v>3</v>
      </c>
      <c r="R153" t="s">
        <v>1072</v>
      </c>
      <c r="S153" s="18">
        <v>1</v>
      </c>
      <c r="T153" s="18">
        <f>AVERAGE(2,1,1,1,2)</f>
        <v>1.4</v>
      </c>
      <c r="U153" s="16">
        <v>1</v>
      </c>
      <c r="V153" s="16">
        <f>AVERAGE(5,6,5,4,5)</f>
        <v>5</v>
      </c>
      <c r="W153" s="16">
        <v>0</v>
      </c>
      <c r="X153" s="16" t="s">
        <v>64</v>
      </c>
      <c r="Y153" s="16">
        <v>0</v>
      </c>
      <c r="Z153" s="16" t="s">
        <v>61</v>
      </c>
      <c r="AA153" s="16" t="s">
        <v>766</v>
      </c>
      <c r="AB153" s="16" t="s">
        <v>766</v>
      </c>
      <c r="AC153" s="20">
        <v>0</v>
      </c>
      <c r="AD153" s="20" t="s">
        <v>64</v>
      </c>
      <c r="AE153" s="16" t="s">
        <v>64</v>
      </c>
      <c r="AF153" s="20" t="s">
        <v>64</v>
      </c>
      <c r="AG153" s="20" t="s">
        <v>64</v>
      </c>
      <c r="AH153" s="26" t="s">
        <v>76</v>
      </c>
      <c r="AI153" s="16">
        <v>0</v>
      </c>
      <c r="AJ153" s="16" t="s">
        <v>64</v>
      </c>
      <c r="AK153" s="16" t="s">
        <v>64</v>
      </c>
      <c r="AL153" s="16" t="s">
        <v>64</v>
      </c>
      <c r="AM153" s="16" t="s">
        <v>64</v>
      </c>
      <c r="AN153" s="16" t="s">
        <v>64</v>
      </c>
      <c r="AO153" s="16" t="s">
        <v>64</v>
      </c>
      <c r="AP153" s="16" t="s">
        <v>64</v>
      </c>
      <c r="AQ153" s="16" t="s">
        <v>64</v>
      </c>
      <c r="AR153" t="s">
        <v>64</v>
      </c>
      <c r="AS153" t="s">
        <v>64</v>
      </c>
      <c r="AT153" s="68"/>
    </row>
    <row r="154" spans="1:48">
      <c r="A154" t="s">
        <v>761</v>
      </c>
      <c r="B154" t="s">
        <v>48</v>
      </c>
      <c r="C154" t="s">
        <v>260</v>
      </c>
      <c r="D154" t="s">
        <v>307</v>
      </c>
      <c r="E154" t="s">
        <v>600</v>
      </c>
      <c r="F154" t="s">
        <v>1158</v>
      </c>
      <c r="G154" t="s">
        <v>1159</v>
      </c>
      <c r="H154">
        <v>46</v>
      </c>
      <c r="J154" s="15">
        <v>42215</v>
      </c>
      <c r="K154">
        <v>-1.4262999999999999</v>
      </c>
      <c r="L154">
        <v>29.836659999999998</v>
      </c>
      <c r="M154">
        <v>2078</v>
      </c>
      <c r="N154">
        <v>783368129</v>
      </c>
      <c r="O154" t="s">
        <v>1160</v>
      </c>
      <c r="P154" s="131">
        <f>17*13</f>
        <v>221</v>
      </c>
      <c r="Q154">
        <v>9</v>
      </c>
      <c r="R154" t="s">
        <v>1161</v>
      </c>
      <c r="S154" s="18">
        <v>1</v>
      </c>
      <c r="T154" s="18">
        <f>AVERAGE(2,1,1,2,1)</f>
        <v>1.4</v>
      </c>
      <c r="U154" s="16">
        <v>1</v>
      </c>
      <c r="V154" s="16">
        <f>AVERAGE(3,2,2,2,2)</f>
        <v>2.2000000000000002</v>
      </c>
      <c r="W154" s="16">
        <v>0</v>
      </c>
      <c r="X154" s="16" t="s">
        <v>64</v>
      </c>
      <c r="Y154" s="16">
        <v>0</v>
      </c>
      <c r="Z154" s="16" t="s">
        <v>61</v>
      </c>
      <c r="AA154" s="16" t="s">
        <v>766</v>
      </c>
      <c r="AB154" s="16" t="s">
        <v>766</v>
      </c>
      <c r="AC154" s="20">
        <v>0</v>
      </c>
      <c r="AD154" s="20" t="s">
        <v>64</v>
      </c>
      <c r="AE154" s="16" t="s">
        <v>64</v>
      </c>
      <c r="AF154" s="20" t="s">
        <v>64</v>
      </c>
      <c r="AG154" s="20" t="s">
        <v>64</v>
      </c>
      <c r="AH154" s="26" t="s">
        <v>76</v>
      </c>
      <c r="AI154" s="16">
        <v>0</v>
      </c>
      <c r="AJ154" s="16" t="s">
        <v>64</v>
      </c>
      <c r="AK154" s="16" t="s">
        <v>64</v>
      </c>
      <c r="AL154" s="16" t="s">
        <v>64</v>
      </c>
      <c r="AM154" s="16" t="s">
        <v>64</v>
      </c>
      <c r="AN154" s="16" t="s">
        <v>64</v>
      </c>
      <c r="AO154" s="16" t="s">
        <v>64</v>
      </c>
      <c r="AP154" s="16" t="s">
        <v>64</v>
      </c>
      <c r="AQ154" s="16" t="s">
        <v>64</v>
      </c>
      <c r="AR154" t="s">
        <v>64</v>
      </c>
      <c r="AS154" t="s">
        <v>64</v>
      </c>
      <c r="AT154" s="68"/>
    </row>
    <row r="155" spans="1:48">
      <c r="A155" t="s">
        <v>761</v>
      </c>
      <c r="B155" t="s">
        <v>48</v>
      </c>
      <c r="C155" t="s">
        <v>260</v>
      </c>
      <c r="D155" t="s">
        <v>261</v>
      </c>
      <c r="E155" t="s">
        <v>286</v>
      </c>
      <c r="F155" s="22" t="s">
        <v>1162</v>
      </c>
      <c r="G155" s="22" t="s">
        <v>1163</v>
      </c>
      <c r="H155">
        <v>47</v>
      </c>
      <c r="J155" s="15">
        <v>42216</v>
      </c>
      <c r="K155">
        <v>-1.4883599999999999</v>
      </c>
      <c r="L155">
        <v>29.654109999999999</v>
      </c>
      <c r="M155">
        <v>1877</v>
      </c>
      <c r="N155">
        <v>729553556</v>
      </c>
      <c r="O155" t="s">
        <v>64</v>
      </c>
      <c r="P155" s="131">
        <f>12*18</f>
        <v>216</v>
      </c>
      <c r="Q155">
        <v>4</v>
      </c>
      <c r="R155" t="s">
        <v>1046</v>
      </c>
      <c r="S155" s="18">
        <v>1</v>
      </c>
      <c r="T155" s="18">
        <f>AVERAGE(1,2,1,1,2)</f>
        <v>1.4</v>
      </c>
      <c r="U155" s="16">
        <v>1</v>
      </c>
      <c r="V155" s="16">
        <f>AVERAGE(2,2,3,5,4)</f>
        <v>3.2</v>
      </c>
      <c r="W155" s="16">
        <v>0</v>
      </c>
      <c r="X155" s="16" t="s">
        <v>64</v>
      </c>
      <c r="Y155" s="16">
        <v>0</v>
      </c>
      <c r="Z155" s="16" t="s">
        <v>61</v>
      </c>
      <c r="AA155" s="16" t="s">
        <v>766</v>
      </c>
      <c r="AB155" s="16" t="s">
        <v>766</v>
      </c>
      <c r="AC155" s="20">
        <v>0</v>
      </c>
      <c r="AD155" s="20" t="s">
        <v>64</v>
      </c>
      <c r="AE155" s="16" t="s">
        <v>64</v>
      </c>
      <c r="AF155" s="20" t="s">
        <v>64</v>
      </c>
      <c r="AG155" s="20" t="s">
        <v>64</v>
      </c>
      <c r="AH155" t="s">
        <v>61</v>
      </c>
      <c r="AI155" s="16">
        <v>0</v>
      </c>
      <c r="AJ155" s="16" t="s">
        <v>64</v>
      </c>
      <c r="AK155" s="16" t="s">
        <v>64</v>
      </c>
      <c r="AL155" s="16" t="s">
        <v>64</v>
      </c>
      <c r="AM155" s="16" t="s">
        <v>64</v>
      </c>
      <c r="AN155" s="16" t="s">
        <v>64</v>
      </c>
      <c r="AO155" s="16" t="s">
        <v>64</v>
      </c>
      <c r="AP155" s="16" t="s">
        <v>64</v>
      </c>
      <c r="AQ155" s="16" t="s">
        <v>64</v>
      </c>
      <c r="AR155" t="s">
        <v>64</v>
      </c>
      <c r="AS155" t="s">
        <v>64</v>
      </c>
      <c r="AT155" s="68"/>
    </row>
    <row r="156" spans="1:48">
      <c r="A156" t="s">
        <v>761</v>
      </c>
      <c r="B156" t="s">
        <v>48</v>
      </c>
      <c r="C156" t="s">
        <v>260</v>
      </c>
      <c r="D156" t="s">
        <v>261</v>
      </c>
      <c r="E156" t="s">
        <v>351</v>
      </c>
      <c r="F156" s="22" t="s">
        <v>642</v>
      </c>
      <c r="G156" s="22" t="s">
        <v>1164</v>
      </c>
      <c r="H156">
        <v>48</v>
      </c>
      <c r="J156" s="15">
        <v>42216</v>
      </c>
      <c r="K156">
        <v>-1.44852</v>
      </c>
      <c r="L156">
        <v>29.651540000000001</v>
      </c>
      <c r="M156">
        <v>2054</v>
      </c>
      <c r="N156" t="s">
        <v>64</v>
      </c>
      <c r="O156" t="s">
        <v>1165</v>
      </c>
      <c r="P156" s="131">
        <f>20*13</f>
        <v>260</v>
      </c>
      <c r="Q156">
        <v>4</v>
      </c>
      <c r="R156" t="s">
        <v>1166</v>
      </c>
      <c r="S156" s="18">
        <v>1</v>
      </c>
      <c r="T156" s="18">
        <v>1</v>
      </c>
      <c r="U156" s="16">
        <v>1</v>
      </c>
      <c r="V156" s="16">
        <f>AVERAGE(2,1,2,2,2)</f>
        <v>1.8</v>
      </c>
      <c r="W156" s="16">
        <v>0</v>
      </c>
      <c r="X156" s="16" t="s">
        <v>64</v>
      </c>
      <c r="Y156" s="16">
        <v>0</v>
      </c>
      <c r="Z156" s="16" t="s">
        <v>61</v>
      </c>
      <c r="AA156" s="16" t="s">
        <v>766</v>
      </c>
      <c r="AB156" s="16" t="s">
        <v>766</v>
      </c>
      <c r="AC156" s="20">
        <v>0</v>
      </c>
      <c r="AD156" s="20" t="s">
        <v>64</v>
      </c>
      <c r="AE156" s="16" t="s">
        <v>64</v>
      </c>
      <c r="AF156" s="20" t="s">
        <v>64</v>
      </c>
      <c r="AG156" s="20" t="s">
        <v>64</v>
      </c>
      <c r="AH156" t="s">
        <v>61</v>
      </c>
      <c r="AI156" s="16">
        <v>0</v>
      </c>
      <c r="AJ156" s="16" t="s">
        <v>64</v>
      </c>
      <c r="AK156" s="16" t="s">
        <v>64</v>
      </c>
      <c r="AL156" s="16" t="s">
        <v>64</v>
      </c>
      <c r="AM156" s="16" t="s">
        <v>64</v>
      </c>
      <c r="AN156" s="16" t="s">
        <v>64</v>
      </c>
      <c r="AO156" s="16" t="s">
        <v>64</v>
      </c>
      <c r="AP156" s="16" t="s">
        <v>64</v>
      </c>
      <c r="AQ156" s="16" t="s">
        <v>64</v>
      </c>
      <c r="AR156" t="s">
        <v>64</v>
      </c>
      <c r="AS156" t="s">
        <v>64</v>
      </c>
      <c r="AT156" s="68"/>
    </row>
    <row r="157" spans="1:48">
      <c r="A157" t="s">
        <v>761</v>
      </c>
      <c r="B157" t="s">
        <v>48</v>
      </c>
      <c r="C157" t="s">
        <v>260</v>
      </c>
      <c r="D157" t="s">
        <v>307</v>
      </c>
      <c r="E157" t="s">
        <v>336</v>
      </c>
      <c r="F157" s="22" t="s">
        <v>1167</v>
      </c>
      <c r="G157" s="22" t="s">
        <v>1168</v>
      </c>
      <c r="H157">
        <v>49</v>
      </c>
      <c r="J157" s="15">
        <v>42216</v>
      </c>
      <c r="K157">
        <v>-1.44845</v>
      </c>
      <c r="L157">
        <v>29.651610000000002</v>
      </c>
      <c r="M157">
        <v>2060</v>
      </c>
      <c r="N157" t="s">
        <v>64</v>
      </c>
      <c r="O157" t="s">
        <v>1169</v>
      </c>
      <c r="P157" s="131">
        <f>22*15</f>
        <v>330</v>
      </c>
      <c r="Q157">
        <v>4</v>
      </c>
      <c r="R157" t="s">
        <v>1170</v>
      </c>
      <c r="S157" s="18">
        <v>1</v>
      </c>
      <c r="T157" s="18">
        <f>AVERAGE(5,3,3,4,2)</f>
        <v>3.4</v>
      </c>
      <c r="U157" s="16">
        <v>1</v>
      </c>
      <c r="V157" s="16">
        <f>AVERAGE(2,2,2,2,3)</f>
        <v>2.2000000000000002</v>
      </c>
      <c r="W157" s="16">
        <v>0</v>
      </c>
      <c r="X157" s="16" t="s">
        <v>64</v>
      </c>
      <c r="Y157" s="16">
        <v>0</v>
      </c>
      <c r="Z157" s="16" t="s">
        <v>61</v>
      </c>
      <c r="AA157" s="16" t="s">
        <v>766</v>
      </c>
      <c r="AB157" s="16" t="s">
        <v>766</v>
      </c>
      <c r="AC157" s="20">
        <v>0</v>
      </c>
      <c r="AD157" s="20" t="s">
        <v>64</v>
      </c>
      <c r="AE157" s="16" t="s">
        <v>64</v>
      </c>
      <c r="AF157" s="20" t="s">
        <v>64</v>
      </c>
      <c r="AG157" s="20" t="s">
        <v>64</v>
      </c>
      <c r="AH157" t="s">
        <v>61</v>
      </c>
      <c r="AI157" s="16">
        <v>0</v>
      </c>
      <c r="AJ157" s="16" t="s">
        <v>64</v>
      </c>
      <c r="AK157" s="16" t="s">
        <v>64</v>
      </c>
      <c r="AL157" s="16" t="s">
        <v>64</v>
      </c>
      <c r="AM157" s="16" t="s">
        <v>64</v>
      </c>
      <c r="AN157" s="16" t="s">
        <v>64</v>
      </c>
      <c r="AO157" s="16" t="s">
        <v>64</v>
      </c>
      <c r="AP157" s="16" t="s">
        <v>64</v>
      </c>
      <c r="AQ157" s="16" t="s">
        <v>64</v>
      </c>
      <c r="AR157" t="s">
        <v>64</v>
      </c>
      <c r="AS157" t="s">
        <v>64</v>
      </c>
      <c r="AT157" s="68"/>
    </row>
    <row r="158" spans="1:48">
      <c r="A158" t="s">
        <v>761</v>
      </c>
      <c r="B158" t="s">
        <v>48</v>
      </c>
      <c r="C158" t="s">
        <v>260</v>
      </c>
      <c r="D158" t="s">
        <v>307</v>
      </c>
      <c r="E158" t="s">
        <v>336</v>
      </c>
      <c r="F158" s="22" t="s">
        <v>1171</v>
      </c>
      <c r="G158" s="22" t="s">
        <v>1172</v>
      </c>
      <c r="H158">
        <v>50</v>
      </c>
      <c r="J158" s="15">
        <v>41851</v>
      </c>
      <c r="K158">
        <v>-1.43696</v>
      </c>
      <c r="L158">
        <v>29.71</v>
      </c>
      <c r="M158">
        <v>2040</v>
      </c>
      <c r="N158" t="s">
        <v>64</v>
      </c>
      <c r="O158" t="s">
        <v>1173</v>
      </c>
      <c r="P158" s="131" t="s">
        <v>64</v>
      </c>
      <c r="Q158">
        <v>4</v>
      </c>
      <c r="R158" t="s">
        <v>1132</v>
      </c>
      <c r="S158" s="18">
        <v>1</v>
      </c>
      <c r="T158" s="18">
        <f>AVERAGE(1,1,2,2,2)</f>
        <v>1.6</v>
      </c>
      <c r="U158" s="16">
        <v>1</v>
      </c>
      <c r="V158" s="16">
        <f>AVERAGE(2,2,2,2,2)</f>
        <v>2</v>
      </c>
      <c r="W158" s="16">
        <v>0</v>
      </c>
      <c r="X158" s="16" t="s">
        <v>64</v>
      </c>
      <c r="Y158" s="16">
        <v>0</v>
      </c>
      <c r="Z158" s="16" t="s">
        <v>61</v>
      </c>
      <c r="AA158" s="16" t="s">
        <v>766</v>
      </c>
      <c r="AB158" s="16" t="s">
        <v>766</v>
      </c>
      <c r="AC158" s="20">
        <v>0</v>
      </c>
      <c r="AD158" s="20" t="s">
        <v>64</v>
      </c>
      <c r="AE158" s="16" t="s">
        <v>64</v>
      </c>
      <c r="AF158" s="20" t="s">
        <v>64</v>
      </c>
      <c r="AG158" s="20" t="s">
        <v>64</v>
      </c>
      <c r="AH158" t="s">
        <v>61</v>
      </c>
      <c r="AI158" s="16">
        <v>0</v>
      </c>
      <c r="AJ158" s="16" t="s">
        <v>64</v>
      </c>
      <c r="AK158" s="16" t="s">
        <v>64</v>
      </c>
      <c r="AL158" s="16" t="s">
        <v>64</v>
      </c>
      <c r="AM158" s="16" t="s">
        <v>64</v>
      </c>
      <c r="AN158" s="16" t="s">
        <v>64</v>
      </c>
      <c r="AO158" s="16" t="s">
        <v>64</v>
      </c>
      <c r="AP158" s="16" t="s">
        <v>64</v>
      </c>
      <c r="AQ158" s="16" t="s">
        <v>64</v>
      </c>
      <c r="AR158" t="s">
        <v>64</v>
      </c>
      <c r="AS158" t="s">
        <v>64</v>
      </c>
      <c r="AT158" s="68"/>
    </row>
    <row r="159" spans="1:48">
      <c r="A159" t="s">
        <v>761</v>
      </c>
      <c r="B159" t="s">
        <v>48</v>
      </c>
      <c r="C159" t="s">
        <v>260</v>
      </c>
      <c r="D159" t="s">
        <v>307</v>
      </c>
      <c r="E159" t="s">
        <v>375</v>
      </c>
      <c r="F159" s="22" t="s">
        <v>1127</v>
      </c>
      <c r="G159" s="22" t="s">
        <v>1174</v>
      </c>
      <c r="H159">
        <v>51</v>
      </c>
      <c r="J159" s="15">
        <v>42216</v>
      </c>
      <c r="K159">
        <v>-1.37612</v>
      </c>
      <c r="L159">
        <v>29.731269999999999</v>
      </c>
      <c r="M159">
        <v>2056</v>
      </c>
      <c r="N159" t="s">
        <v>64</v>
      </c>
      <c r="O159" t="s">
        <v>1175</v>
      </c>
      <c r="P159" s="131">
        <f>36*15</f>
        <v>540</v>
      </c>
      <c r="Q159">
        <v>4</v>
      </c>
      <c r="R159" t="s">
        <v>1093</v>
      </c>
      <c r="S159" s="18">
        <v>1</v>
      </c>
      <c r="T159" s="18">
        <f>AVERAGE(3,2,1,3,4)</f>
        <v>2.6</v>
      </c>
      <c r="U159" s="16">
        <v>1</v>
      </c>
      <c r="V159" s="16">
        <f>AVERAGE(2,4,2,4,4)</f>
        <v>3.2</v>
      </c>
      <c r="W159" s="16">
        <v>0</v>
      </c>
      <c r="X159" s="16" t="s">
        <v>64</v>
      </c>
      <c r="Y159" s="16">
        <v>1</v>
      </c>
      <c r="Z159" s="16" t="s">
        <v>61</v>
      </c>
      <c r="AA159" s="16" t="s">
        <v>766</v>
      </c>
      <c r="AB159" s="16" t="s">
        <v>766</v>
      </c>
      <c r="AC159" s="20">
        <v>0</v>
      </c>
      <c r="AD159" s="20" t="s">
        <v>64</v>
      </c>
      <c r="AE159" s="16" t="s">
        <v>64</v>
      </c>
      <c r="AF159" s="20" t="s">
        <v>64</v>
      </c>
      <c r="AG159" s="20" t="s">
        <v>64</v>
      </c>
      <c r="AH159" t="s">
        <v>61</v>
      </c>
      <c r="AI159" s="16">
        <v>0</v>
      </c>
      <c r="AJ159" s="16" t="s">
        <v>64</v>
      </c>
      <c r="AK159" s="16" t="s">
        <v>64</v>
      </c>
      <c r="AL159" s="16" t="s">
        <v>64</v>
      </c>
      <c r="AM159" s="16" t="s">
        <v>64</v>
      </c>
      <c r="AN159" s="16" t="s">
        <v>64</v>
      </c>
      <c r="AO159" s="16" t="s">
        <v>64</v>
      </c>
      <c r="AP159" s="16" t="s">
        <v>64</v>
      </c>
      <c r="AQ159" s="16" t="s">
        <v>64</v>
      </c>
      <c r="AR159" t="s">
        <v>64</v>
      </c>
      <c r="AS159" t="s">
        <v>64</v>
      </c>
      <c r="AT159" s="68"/>
    </row>
    <row r="160" spans="1:48">
      <c r="A160" t="s">
        <v>761</v>
      </c>
      <c r="B160" t="s">
        <v>48</v>
      </c>
      <c r="C160" t="s">
        <v>260</v>
      </c>
      <c r="D160" t="s">
        <v>307</v>
      </c>
      <c r="E160" t="s">
        <v>375</v>
      </c>
      <c r="F160" s="22" t="s">
        <v>1176</v>
      </c>
      <c r="G160" s="22" t="s">
        <v>1177</v>
      </c>
      <c r="H160">
        <v>52</v>
      </c>
      <c r="J160" s="15">
        <v>42216</v>
      </c>
      <c r="K160">
        <v>-1.34396</v>
      </c>
      <c r="L160">
        <v>29.73685</v>
      </c>
      <c r="M160">
        <v>1981</v>
      </c>
      <c r="N160" t="s">
        <v>64</v>
      </c>
      <c r="O160" t="s">
        <v>1178</v>
      </c>
      <c r="P160" s="131">
        <f>12*10</f>
        <v>120</v>
      </c>
      <c r="Q160">
        <v>5</v>
      </c>
      <c r="R160" t="s">
        <v>1179</v>
      </c>
      <c r="S160" s="18">
        <v>1</v>
      </c>
      <c r="T160" s="18">
        <f>AVERAGE(2,1,1,2,2)</f>
        <v>1.6</v>
      </c>
      <c r="U160" s="16">
        <v>1</v>
      </c>
      <c r="V160" s="16">
        <f>AVERAGE(5,4,3,5,5)</f>
        <v>4.4000000000000004</v>
      </c>
      <c r="W160" s="16">
        <v>0</v>
      </c>
      <c r="X160" s="16" t="s">
        <v>64</v>
      </c>
      <c r="Y160" s="16">
        <v>1</v>
      </c>
      <c r="Z160" s="16" t="s">
        <v>61</v>
      </c>
      <c r="AA160" s="16" t="s">
        <v>766</v>
      </c>
      <c r="AB160" s="16" t="s">
        <v>766</v>
      </c>
      <c r="AC160" s="20">
        <v>0</v>
      </c>
      <c r="AD160" s="20" t="s">
        <v>64</v>
      </c>
      <c r="AE160" s="16" t="s">
        <v>64</v>
      </c>
      <c r="AF160" s="20" t="s">
        <v>64</v>
      </c>
      <c r="AG160" s="20" t="s">
        <v>64</v>
      </c>
      <c r="AH160" t="s">
        <v>61</v>
      </c>
      <c r="AI160" s="16">
        <v>0</v>
      </c>
      <c r="AJ160" s="16" t="s">
        <v>64</v>
      </c>
      <c r="AK160" s="16" t="s">
        <v>64</v>
      </c>
      <c r="AL160" s="16" t="s">
        <v>64</v>
      </c>
      <c r="AM160" s="16" t="s">
        <v>64</v>
      </c>
      <c r="AN160" s="16" t="s">
        <v>64</v>
      </c>
      <c r="AO160" s="16" t="s">
        <v>64</v>
      </c>
      <c r="AP160" s="16" t="s">
        <v>64</v>
      </c>
      <c r="AQ160" s="16" t="s">
        <v>64</v>
      </c>
      <c r="AR160" t="s">
        <v>64</v>
      </c>
      <c r="AS160" t="s">
        <v>64</v>
      </c>
      <c r="AT160" s="68"/>
    </row>
    <row r="161" spans="1:48">
      <c r="A161" t="s">
        <v>761</v>
      </c>
      <c r="B161" t="s">
        <v>144</v>
      </c>
      <c r="C161" t="s">
        <v>260</v>
      </c>
      <c r="D161" s="22" t="s">
        <v>261</v>
      </c>
      <c r="E161" s="22" t="s">
        <v>303</v>
      </c>
      <c r="F161" s="22" t="s">
        <v>1180</v>
      </c>
      <c r="G161" s="22" t="s">
        <v>64</v>
      </c>
      <c r="H161">
        <v>1</v>
      </c>
      <c r="I161">
        <v>1</v>
      </c>
      <c r="J161" s="15">
        <v>43046</v>
      </c>
      <c r="K161">
        <v>-1.5258210000000001</v>
      </c>
      <c r="L161">
        <v>29.582100000000001</v>
      </c>
      <c r="M161">
        <v>1689</v>
      </c>
      <c r="N161" t="s">
        <v>64</v>
      </c>
      <c r="O161" t="s">
        <v>1181</v>
      </c>
      <c r="P161" s="131">
        <f>28*9</f>
        <v>252</v>
      </c>
      <c r="Q161">
        <v>3</v>
      </c>
      <c r="R161" t="s">
        <v>1182</v>
      </c>
      <c r="S161" s="18">
        <v>0</v>
      </c>
      <c r="T161" s="18">
        <v>1</v>
      </c>
      <c r="U161" s="16">
        <v>1</v>
      </c>
      <c r="V161" s="18">
        <f>AVERAGE(5,7,9,9,7)</f>
        <v>7.4</v>
      </c>
      <c r="W161" s="16">
        <v>0</v>
      </c>
      <c r="X161" s="16" t="s">
        <v>64</v>
      </c>
      <c r="Y161" s="16">
        <v>0</v>
      </c>
      <c r="Z161" s="16" t="s">
        <v>61</v>
      </c>
      <c r="AA161" s="16" t="s">
        <v>61</v>
      </c>
      <c r="AB161" s="16" t="s">
        <v>61</v>
      </c>
      <c r="AC161" s="20">
        <v>0</v>
      </c>
      <c r="AD161" s="20" t="s">
        <v>64</v>
      </c>
      <c r="AE161" s="16" t="s">
        <v>64</v>
      </c>
      <c r="AF161" s="20" t="s">
        <v>64</v>
      </c>
      <c r="AG161" s="20" t="s">
        <v>64</v>
      </c>
      <c r="AH161" t="s">
        <v>61</v>
      </c>
      <c r="AI161" s="16">
        <v>0</v>
      </c>
      <c r="AJ161" s="16" t="s">
        <v>64</v>
      </c>
      <c r="AK161" s="16" t="s">
        <v>64</v>
      </c>
      <c r="AL161" s="16" t="s">
        <v>64</v>
      </c>
      <c r="AM161" s="16" t="s">
        <v>64</v>
      </c>
      <c r="AN161" s="16" t="s">
        <v>64</v>
      </c>
      <c r="AO161" s="16" t="s">
        <v>64</v>
      </c>
      <c r="AP161" s="16">
        <v>0</v>
      </c>
      <c r="AQ161" s="127">
        <v>0</v>
      </c>
      <c r="AR161" s="16">
        <v>0</v>
      </c>
      <c r="AS161" s="16">
        <v>0</v>
      </c>
    </row>
    <row r="162" spans="1:48">
      <c r="A162" t="s">
        <v>761</v>
      </c>
      <c r="B162" t="s">
        <v>144</v>
      </c>
      <c r="C162" t="s">
        <v>260</v>
      </c>
      <c r="D162" s="22" t="s">
        <v>261</v>
      </c>
      <c r="E162" s="22" t="s">
        <v>303</v>
      </c>
      <c r="F162" s="22" t="s">
        <v>1180</v>
      </c>
      <c r="G162" s="22" t="s">
        <v>64</v>
      </c>
      <c r="H162">
        <v>2</v>
      </c>
      <c r="I162">
        <v>2</v>
      </c>
      <c r="J162" s="15">
        <v>43046</v>
      </c>
      <c r="K162">
        <v>-1.519425</v>
      </c>
      <c r="L162">
        <v>29.682475</v>
      </c>
      <c r="M162">
        <v>1849</v>
      </c>
      <c r="N162" t="s">
        <v>64</v>
      </c>
      <c r="O162" t="s">
        <v>1183</v>
      </c>
      <c r="P162" s="134">
        <f>11*10</f>
        <v>110</v>
      </c>
      <c r="Q162">
        <v>6</v>
      </c>
      <c r="R162" t="s">
        <v>1184</v>
      </c>
      <c r="S162" s="18">
        <v>0</v>
      </c>
      <c r="T162" s="18">
        <v>1</v>
      </c>
      <c r="U162" s="16">
        <v>1</v>
      </c>
      <c r="V162" s="16">
        <f>AVERAGE(8,9,6,5)</f>
        <v>7</v>
      </c>
      <c r="W162" s="16">
        <v>0</v>
      </c>
      <c r="X162" s="16" t="s">
        <v>64</v>
      </c>
      <c r="Y162" s="16">
        <v>1</v>
      </c>
      <c r="Z162" s="16" t="s">
        <v>61</v>
      </c>
      <c r="AA162" s="16" t="s">
        <v>61</v>
      </c>
      <c r="AB162" s="16" t="s">
        <v>61</v>
      </c>
      <c r="AC162" s="20">
        <v>0</v>
      </c>
      <c r="AD162" s="20" t="s">
        <v>64</v>
      </c>
      <c r="AE162" s="16" t="s">
        <v>64</v>
      </c>
      <c r="AF162" s="20" t="s">
        <v>64</v>
      </c>
      <c r="AG162" s="20" t="s">
        <v>64</v>
      </c>
      <c r="AH162" t="s">
        <v>61</v>
      </c>
      <c r="AI162" s="16">
        <v>1</v>
      </c>
      <c r="AJ162" s="16">
        <f>2/5*100</f>
        <v>40</v>
      </c>
      <c r="AK162" s="16">
        <v>2</v>
      </c>
      <c r="AL162" s="137">
        <v>0</v>
      </c>
      <c r="AM162" s="137">
        <v>0</v>
      </c>
      <c r="AN162" s="16">
        <v>0</v>
      </c>
      <c r="AO162" s="16">
        <v>0</v>
      </c>
      <c r="AP162" s="16">
        <v>0</v>
      </c>
      <c r="AQ162" s="127">
        <v>0</v>
      </c>
      <c r="AR162" t="s">
        <v>64</v>
      </c>
      <c r="AS162" t="s">
        <v>64</v>
      </c>
      <c r="AU162" s="22"/>
      <c r="AV162" s="22"/>
    </row>
    <row r="163" spans="1:48" s="22" customFormat="1" ht="43.5">
      <c r="A163" s="22" t="s">
        <v>761</v>
      </c>
      <c r="B163" s="22" t="s">
        <v>144</v>
      </c>
      <c r="C163" s="22" t="s">
        <v>260</v>
      </c>
      <c r="D163" s="22" t="s">
        <v>261</v>
      </c>
      <c r="E163" s="22" t="s">
        <v>303</v>
      </c>
      <c r="F163" s="22" t="s">
        <v>1180</v>
      </c>
      <c r="G163" s="22" t="s">
        <v>64</v>
      </c>
      <c r="H163" s="22">
        <v>3</v>
      </c>
      <c r="I163" s="22">
        <v>3</v>
      </c>
      <c r="J163" s="123">
        <v>43046</v>
      </c>
      <c r="K163" s="113">
        <v>-1.5051760000000001</v>
      </c>
      <c r="L163" s="113">
        <v>29.685299000000001</v>
      </c>
      <c r="M163" s="113">
        <v>1879</v>
      </c>
      <c r="N163" s="113">
        <v>786051029</v>
      </c>
      <c r="O163" s="124" t="s">
        <v>1185</v>
      </c>
      <c r="P163" s="133">
        <f>8*7</f>
        <v>56</v>
      </c>
      <c r="Q163" s="126">
        <v>6</v>
      </c>
      <c r="R163" s="125" t="s">
        <v>1186</v>
      </c>
      <c r="S163" s="125">
        <v>0</v>
      </c>
      <c r="T163" s="113">
        <v>1</v>
      </c>
      <c r="U163" s="113">
        <v>1</v>
      </c>
      <c r="V163" s="113">
        <f>AVERAGE(5,4,4,3,5)</f>
        <v>4.2</v>
      </c>
      <c r="W163" s="113">
        <v>0</v>
      </c>
      <c r="X163" s="16" t="s">
        <v>64</v>
      </c>
      <c r="Y163" s="113">
        <v>0</v>
      </c>
      <c r="Z163" s="16" t="s">
        <v>782</v>
      </c>
      <c r="AA163" s="113" t="s">
        <v>61</v>
      </c>
      <c r="AB163" s="113" t="s">
        <v>61</v>
      </c>
      <c r="AC163" s="20">
        <v>0</v>
      </c>
      <c r="AD163" s="20" t="s">
        <v>64</v>
      </c>
      <c r="AE163" s="16" t="s">
        <v>64</v>
      </c>
      <c r="AF163" s="20" t="s">
        <v>64</v>
      </c>
      <c r="AG163" s="20" t="s">
        <v>64</v>
      </c>
      <c r="AH163" s="26" t="s">
        <v>76</v>
      </c>
      <c r="AI163" s="113">
        <v>0</v>
      </c>
      <c r="AJ163" s="16" t="s">
        <v>64</v>
      </c>
      <c r="AK163" s="16" t="s">
        <v>64</v>
      </c>
      <c r="AL163" s="16" t="s">
        <v>64</v>
      </c>
      <c r="AM163" s="16" t="s">
        <v>64</v>
      </c>
      <c r="AN163" s="16" t="s">
        <v>64</v>
      </c>
      <c r="AO163" s="16" t="s">
        <v>64</v>
      </c>
      <c r="AP163" s="127">
        <v>1</v>
      </c>
      <c r="AQ163" s="127">
        <v>1</v>
      </c>
      <c r="AR163" t="s">
        <v>64</v>
      </c>
      <c r="AS163" t="s">
        <v>64</v>
      </c>
      <c r="AU163"/>
      <c r="AV163"/>
    </row>
    <row r="164" spans="1:48">
      <c r="A164" t="s">
        <v>761</v>
      </c>
      <c r="B164" t="s">
        <v>144</v>
      </c>
      <c r="C164" t="s">
        <v>260</v>
      </c>
      <c r="D164" s="22" t="s">
        <v>307</v>
      </c>
      <c r="E164" s="22" t="s">
        <v>1187</v>
      </c>
      <c r="F164" s="22" t="s">
        <v>553</v>
      </c>
      <c r="G164" s="22" t="s">
        <v>64</v>
      </c>
      <c r="H164">
        <v>4</v>
      </c>
      <c r="J164" s="15">
        <v>43046</v>
      </c>
      <c r="K164">
        <v>-1.4700740000000001</v>
      </c>
      <c r="L164">
        <v>29.724527999999999</v>
      </c>
      <c r="M164">
        <v>1821</v>
      </c>
      <c r="N164">
        <v>788549407</v>
      </c>
      <c r="O164" s="18" t="s">
        <v>1188</v>
      </c>
      <c r="P164" s="132" t="s">
        <v>64</v>
      </c>
      <c r="Q164" s="20">
        <v>4</v>
      </c>
      <c r="R164" t="s">
        <v>1189</v>
      </c>
      <c r="S164" s="16">
        <v>0</v>
      </c>
      <c r="T164" s="18">
        <v>1</v>
      </c>
      <c r="U164" s="16">
        <v>1</v>
      </c>
      <c r="V164" s="16">
        <f>AVERAGE(4,4,5,5,5)</f>
        <v>4.5999999999999996</v>
      </c>
      <c r="W164" s="16">
        <v>0</v>
      </c>
      <c r="X164" s="16" t="s">
        <v>64</v>
      </c>
      <c r="Y164" s="16">
        <v>0</v>
      </c>
      <c r="Z164" s="16" t="s">
        <v>61</v>
      </c>
      <c r="AA164" s="113" t="s">
        <v>61</v>
      </c>
      <c r="AB164" s="20" t="s">
        <v>61</v>
      </c>
      <c r="AC164" s="20">
        <v>0</v>
      </c>
      <c r="AD164" s="20" t="s">
        <v>64</v>
      </c>
      <c r="AE164" s="16" t="s">
        <v>64</v>
      </c>
      <c r="AF164" s="20" t="s">
        <v>64</v>
      </c>
      <c r="AG164" s="20" t="s">
        <v>64</v>
      </c>
      <c r="AH164" s="26" t="s">
        <v>76</v>
      </c>
      <c r="AI164" s="16">
        <v>0</v>
      </c>
      <c r="AJ164" s="16" t="s">
        <v>64</v>
      </c>
      <c r="AK164" s="16" t="s">
        <v>64</v>
      </c>
      <c r="AL164" s="16" t="s">
        <v>64</v>
      </c>
      <c r="AM164" s="16" t="s">
        <v>64</v>
      </c>
      <c r="AN164" s="16" t="s">
        <v>64</v>
      </c>
      <c r="AO164" s="16" t="s">
        <v>64</v>
      </c>
      <c r="AP164" s="16">
        <v>0</v>
      </c>
      <c r="AQ164" s="127">
        <v>0</v>
      </c>
      <c r="AR164" t="s">
        <v>64</v>
      </c>
      <c r="AS164" t="s">
        <v>64</v>
      </c>
    </row>
    <row r="165" spans="1:48">
      <c r="A165" t="s">
        <v>761</v>
      </c>
      <c r="B165" t="s">
        <v>144</v>
      </c>
      <c r="C165" t="s">
        <v>260</v>
      </c>
      <c r="D165" s="22" t="s">
        <v>307</v>
      </c>
      <c r="E165" s="22" t="s">
        <v>372</v>
      </c>
      <c r="F165" s="22" t="s">
        <v>585</v>
      </c>
      <c r="G165" s="22" t="s">
        <v>64</v>
      </c>
      <c r="H165">
        <v>5</v>
      </c>
      <c r="I165">
        <v>4</v>
      </c>
      <c r="J165" s="15">
        <v>43046</v>
      </c>
      <c r="K165">
        <v>-1.4814879999999999</v>
      </c>
      <c r="L165">
        <v>29.754432000000001</v>
      </c>
      <c r="M165">
        <v>1868</v>
      </c>
      <c r="N165" t="s">
        <v>64</v>
      </c>
      <c r="O165" s="18" t="s">
        <v>1190</v>
      </c>
      <c r="P165" s="132">
        <f>37*11</f>
        <v>407</v>
      </c>
      <c r="Q165" s="20">
        <v>4</v>
      </c>
      <c r="R165" s="16" t="s">
        <v>1191</v>
      </c>
      <c r="S165" s="16">
        <v>0</v>
      </c>
      <c r="T165" s="18">
        <v>1</v>
      </c>
      <c r="U165" s="16">
        <v>1</v>
      </c>
      <c r="V165" s="16">
        <f>AVERAGE(8,8,8,8,9)</f>
        <v>8.1999999999999993</v>
      </c>
      <c r="W165" s="16">
        <v>0</v>
      </c>
      <c r="X165" s="16" t="s">
        <v>64</v>
      </c>
      <c r="Y165" s="16">
        <v>1</v>
      </c>
      <c r="Z165" s="16" t="s">
        <v>160</v>
      </c>
      <c r="AA165" s="113" t="s">
        <v>61</v>
      </c>
      <c r="AB165" s="20" t="s">
        <v>61</v>
      </c>
      <c r="AC165" s="20">
        <v>0</v>
      </c>
      <c r="AD165" s="20" t="s">
        <v>64</v>
      </c>
      <c r="AE165" s="16" t="s">
        <v>64</v>
      </c>
      <c r="AF165" s="20" t="s">
        <v>64</v>
      </c>
      <c r="AG165" s="20" t="s">
        <v>64</v>
      </c>
      <c r="AH165" s="26" t="s">
        <v>76</v>
      </c>
      <c r="AI165" s="16">
        <v>0</v>
      </c>
      <c r="AJ165" s="16" t="s">
        <v>64</v>
      </c>
      <c r="AK165" s="16" t="s">
        <v>64</v>
      </c>
      <c r="AL165" s="16" t="s">
        <v>64</v>
      </c>
      <c r="AM165" s="16" t="s">
        <v>64</v>
      </c>
      <c r="AN165" s="16" t="s">
        <v>64</v>
      </c>
      <c r="AO165" s="16" t="s">
        <v>64</v>
      </c>
      <c r="AP165" s="16">
        <v>0</v>
      </c>
      <c r="AQ165" s="127">
        <v>0</v>
      </c>
      <c r="AR165" t="s">
        <v>64</v>
      </c>
      <c r="AS165" t="s">
        <v>64</v>
      </c>
    </row>
    <row r="166" spans="1:48">
      <c r="A166" t="s">
        <v>761</v>
      </c>
      <c r="B166" t="s">
        <v>144</v>
      </c>
      <c r="C166" t="s">
        <v>260</v>
      </c>
      <c r="D166" s="22" t="s">
        <v>307</v>
      </c>
      <c r="E166" s="22" t="s">
        <v>372</v>
      </c>
      <c r="F166" s="22" t="s">
        <v>585</v>
      </c>
      <c r="G166" s="22" t="s">
        <v>64</v>
      </c>
      <c r="H166">
        <v>6</v>
      </c>
      <c r="I166">
        <v>5</v>
      </c>
      <c r="J166" s="15">
        <v>43047</v>
      </c>
      <c r="K166">
        <v>-1.382625</v>
      </c>
      <c r="L166">
        <v>29.748038000000001</v>
      </c>
      <c r="M166">
        <v>1975</v>
      </c>
      <c r="N166">
        <v>784200051</v>
      </c>
      <c r="O166" s="18" t="s">
        <v>1192</v>
      </c>
      <c r="P166" s="132">
        <f>18*22</f>
        <v>396</v>
      </c>
      <c r="Q166" s="20">
        <v>5</v>
      </c>
      <c r="R166" s="16" t="s">
        <v>1046</v>
      </c>
      <c r="S166" s="16">
        <v>0</v>
      </c>
      <c r="T166" s="18">
        <v>1</v>
      </c>
      <c r="U166" s="16">
        <v>1</v>
      </c>
      <c r="V166" s="16">
        <f>AVERAGE(6,5,7,5,5)</f>
        <v>5.6</v>
      </c>
      <c r="W166" s="16">
        <v>0</v>
      </c>
      <c r="X166" s="16" t="s">
        <v>64</v>
      </c>
      <c r="Y166" s="16">
        <v>0</v>
      </c>
      <c r="Z166" s="16" t="s">
        <v>61</v>
      </c>
      <c r="AA166" s="113" t="s">
        <v>61</v>
      </c>
      <c r="AB166" s="20" t="s">
        <v>61</v>
      </c>
      <c r="AC166" s="20">
        <v>0</v>
      </c>
      <c r="AD166" s="20" t="s">
        <v>64</v>
      </c>
      <c r="AE166" s="16" t="s">
        <v>64</v>
      </c>
      <c r="AF166" s="20" t="s">
        <v>64</v>
      </c>
      <c r="AG166" s="20" t="s">
        <v>64</v>
      </c>
      <c r="AH166" s="26" t="s">
        <v>76</v>
      </c>
      <c r="AI166" s="16">
        <v>0</v>
      </c>
      <c r="AJ166" s="16" t="s">
        <v>64</v>
      </c>
      <c r="AK166" s="16" t="s">
        <v>64</v>
      </c>
      <c r="AL166" s="16" t="s">
        <v>64</v>
      </c>
      <c r="AM166" s="16" t="s">
        <v>64</v>
      </c>
      <c r="AN166" s="16" t="s">
        <v>64</v>
      </c>
      <c r="AO166" s="16" t="s">
        <v>64</v>
      </c>
      <c r="AP166" s="16">
        <v>0</v>
      </c>
      <c r="AQ166" s="127">
        <v>0</v>
      </c>
      <c r="AR166" t="s">
        <v>64</v>
      </c>
      <c r="AS166" t="s">
        <v>64</v>
      </c>
    </row>
    <row r="167" spans="1:48">
      <c r="A167" t="s">
        <v>761</v>
      </c>
      <c r="B167" t="s">
        <v>144</v>
      </c>
      <c r="C167" t="s">
        <v>260</v>
      </c>
      <c r="D167" s="22" t="s">
        <v>307</v>
      </c>
      <c r="E167" s="22" t="s">
        <v>375</v>
      </c>
      <c r="F167" s="22" t="s">
        <v>1082</v>
      </c>
      <c r="G167" s="22" t="s">
        <v>64</v>
      </c>
      <c r="H167">
        <v>7</v>
      </c>
      <c r="I167">
        <v>6</v>
      </c>
      <c r="J167" s="15">
        <v>43047</v>
      </c>
      <c r="K167">
        <v>-1.386822</v>
      </c>
      <c r="L167">
        <v>29.766213</v>
      </c>
      <c r="M167">
        <v>1890</v>
      </c>
      <c r="N167" t="s">
        <v>64</v>
      </c>
      <c r="O167" s="18" t="s">
        <v>1193</v>
      </c>
      <c r="P167" s="132">
        <f>18*21</f>
        <v>378</v>
      </c>
      <c r="Q167" s="20">
        <v>5</v>
      </c>
      <c r="R167" s="16" t="s">
        <v>1194</v>
      </c>
      <c r="S167" s="16">
        <v>0</v>
      </c>
      <c r="T167" s="18">
        <v>1</v>
      </c>
      <c r="U167" s="16">
        <v>1</v>
      </c>
      <c r="V167" s="16">
        <f>AVERAGE(5,7,6,6,7)</f>
        <v>6.2</v>
      </c>
      <c r="W167" s="16">
        <v>0</v>
      </c>
      <c r="X167" s="16" t="s">
        <v>64</v>
      </c>
      <c r="Y167" s="16">
        <v>2</v>
      </c>
      <c r="Z167" s="16" t="s">
        <v>61</v>
      </c>
      <c r="AA167" s="113" t="s">
        <v>61</v>
      </c>
      <c r="AB167" s="20" t="s">
        <v>61</v>
      </c>
      <c r="AC167" s="20">
        <v>0</v>
      </c>
      <c r="AD167" s="20" t="s">
        <v>64</v>
      </c>
      <c r="AE167" s="16" t="s">
        <v>64</v>
      </c>
      <c r="AF167" s="20" t="s">
        <v>64</v>
      </c>
      <c r="AG167" s="20" t="s">
        <v>64</v>
      </c>
      <c r="AH167" s="20" t="s">
        <v>61</v>
      </c>
      <c r="AI167" s="16">
        <v>0</v>
      </c>
      <c r="AJ167" s="16" t="s">
        <v>64</v>
      </c>
      <c r="AK167" s="16" t="s">
        <v>64</v>
      </c>
      <c r="AL167" s="16" t="s">
        <v>64</v>
      </c>
      <c r="AM167" s="16" t="s">
        <v>64</v>
      </c>
      <c r="AN167" s="16" t="s">
        <v>64</v>
      </c>
      <c r="AO167" s="16" t="s">
        <v>64</v>
      </c>
      <c r="AP167" s="16">
        <v>0</v>
      </c>
      <c r="AQ167" s="127">
        <v>0</v>
      </c>
      <c r="AR167" t="s">
        <v>64</v>
      </c>
      <c r="AS167" t="s">
        <v>64</v>
      </c>
    </row>
    <row r="168" spans="1:48">
      <c r="A168" t="s">
        <v>761</v>
      </c>
      <c r="B168" t="s">
        <v>144</v>
      </c>
      <c r="C168" t="s">
        <v>260</v>
      </c>
      <c r="D168" s="22" t="s">
        <v>307</v>
      </c>
      <c r="E168" s="22" t="s">
        <v>308</v>
      </c>
      <c r="F168" s="22" t="s">
        <v>580</v>
      </c>
      <c r="G168" s="22" t="s">
        <v>64</v>
      </c>
      <c r="H168">
        <v>8</v>
      </c>
      <c r="I168">
        <v>7</v>
      </c>
      <c r="J168" s="15">
        <v>43047</v>
      </c>
      <c r="K168">
        <v>-1.3742209999999999</v>
      </c>
      <c r="L168">
        <v>29.777691000000001</v>
      </c>
      <c r="M168">
        <v>1883</v>
      </c>
      <c r="N168">
        <v>786371519</v>
      </c>
      <c r="O168" s="18" t="s">
        <v>1195</v>
      </c>
      <c r="P168" s="132">
        <f>20*13</f>
        <v>260</v>
      </c>
      <c r="Q168" s="20">
        <v>5</v>
      </c>
      <c r="R168" s="16" t="s">
        <v>1046</v>
      </c>
      <c r="S168" s="16">
        <v>1</v>
      </c>
      <c r="T168" s="18">
        <f>AVERAGE(1,1,2,1,1)</f>
        <v>1.2</v>
      </c>
      <c r="U168" s="16">
        <v>1</v>
      </c>
      <c r="V168" s="16">
        <f>AVERAGE(5,5,3,3,6)</f>
        <v>4.4000000000000004</v>
      </c>
      <c r="W168" s="16">
        <v>0</v>
      </c>
      <c r="X168" s="16" t="s">
        <v>64</v>
      </c>
      <c r="Y168" s="16">
        <v>1</v>
      </c>
      <c r="Z168" s="16" t="s">
        <v>61</v>
      </c>
      <c r="AA168" s="113" t="s">
        <v>61</v>
      </c>
      <c r="AB168" s="20" t="s">
        <v>61</v>
      </c>
      <c r="AC168" s="20">
        <v>0</v>
      </c>
      <c r="AD168" s="20" t="s">
        <v>64</v>
      </c>
      <c r="AE168" s="16" t="s">
        <v>64</v>
      </c>
      <c r="AF168" s="20" t="s">
        <v>64</v>
      </c>
      <c r="AG168" s="20" t="s">
        <v>64</v>
      </c>
      <c r="AH168" s="20" t="s">
        <v>61</v>
      </c>
      <c r="AI168" s="16">
        <v>0</v>
      </c>
      <c r="AJ168" s="16" t="s">
        <v>64</v>
      </c>
      <c r="AK168" s="16" t="s">
        <v>64</v>
      </c>
      <c r="AL168" s="16" t="s">
        <v>64</v>
      </c>
      <c r="AM168" s="16" t="s">
        <v>64</v>
      </c>
      <c r="AN168" s="16" t="s">
        <v>64</v>
      </c>
      <c r="AO168" s="16" t="s">
        <v>64</v>
      </c>
      <c r="AP168" s="16">
        <v>0</v>
      </c>
      <c r="AQ168" s="127">
        <v>0</v>
      </c>
      <c r="AR168" t="s">
        <v>64</v>
      </c>
      <c r="AS168" t="s">
        <v>64</v>
      </c>
    </row>
    <row r="169" spans="1:48">
      <c r="A169" t="s">
        <v>761</v>
      </c>
      <c r="B169" t="s">
        <v>144</v>
      </c>
      <c r="C169" t="s">
        <v>260</v>
      </c>
      <c r="D169" s="22" t="s">
        <v>307</v>
      </c>
      <c r="E169" s="22" t="s">
        <v>308</v>
      </c>
      <c r="F169" s="22" t="s">
        <v>321</v>
      </c>
      <c r="G169" s="22" t="s">
        <v>64</v>
      </c>
      <c r="H169">
        <v>9</v>
      </c>
      <c r="I169">
        <v>8</v>
      </c>
      <c r="J169" s="15">
        <v>43047</v>
      </c>
      <c r="K169">
        <v>-1.3381703</v>
      </c>
      <c r="L169">
        <v>29.795138000000001</v>
      </c>
      <c r="M169">
        <v>1870</v>
      </c>
      <c r="N169">
        <v>781178210</v>
      </c>
      <c r="O169" s="18" t="s">
        <v>1196</v>
      </c>
      <c r="P169" s="132">
        <f>8*28</f>
        <v>224</v>
      </c>
      <c r="Q169" s="20">
        <v>5</v>
      </c>
      <c r="R169" s="16" t="s">
        <v>1046</v>
      </c>
      <c r="S169" s="16">
        <v>1</v>
      </c>
      <c r="T169" s="18">
        <f>AVERAGE(3,2,1,1,1)</f>
        <v>1.6</v>
      </c>
      <c r="U169" s="16">
        <v>1</v>
      </c>
      <c r="V169" s="16">
        <f>AVERAGE(2,6,2,4,3)</f>
        <v>3.4</v>
      </c>
      <c r="W169" s="16">
        <v>0</v>
      </c>
      <c r="X169" s="16" t="s">
        <v>64</v>
      </c>
      <c r="Y169" s="16">
        <v>1</v>
      </c>
      <c r="Z169" s="16" t="s">
        <v>61</v>
      </c>
      <c r="AA169" s="113" t="s">
        <v>61</v>
      </c>
      <c r="AB169" s="20" t="s">
        <v>61</v>
      </c>
      <c r="AC169" s="20">
        <v>1</v>
      </c>
      <c r="AD169" s="136">
        <v>2</v>
      </c>
      <c r="AE169" s="16">
        <f>2/20*100</f>
        <v>10</v>
      </c>
      <c r="AF169">
        <v>1</v>
      </c>
      <c r="AG169" s="20" t="s">
        <v>61</v>
      </c>
      <c r="AH169" s="20" t="s">
        <v>61</v>
      </c>
      <c r="AI169" s="16">
        <v>0</v>
      </c>
      <c r="AJ169" s="16" t="s">
        <v>64</v>
      </c>
      <c r="AK169" s="16" t="s">
        <v>64</v>
      </c>
      <c r="AL169" s="16" t="s">
        <v>64</v>
      </c>
      <c r="AM169" s="16" t="s">
        <v>64</v>
      </c>
      <c r="AN169" s="16" t="s">
        <v>64</v>
      </c>
      <c r="AO169" s="16" t="s">
        <v>64</v>
      </c>
      <c r="AP169" s="16">
        <v>0</v>
      </c>
      <c r="AQ169" s="127">
        <v>0</v>
      </c>
      <c r="AR169" t="s">
        <v>64</v>
      </c>
      <c r="AS169" t="s">
        <v>64</v>
      </c>
    </row>
    <row r="170" spans="1:48">
      <c r="A170" t="s">
        <v>761</v>
      </c>
      <c r="B170" t="s">
        <v>144</v>
      </c>
      <c r="C170" t="s">
        <v>260</v>
      </c>
      <c r="D170" s="22" t="s">
        <v>307</v>
      </c>
      <c r="E170" s="22" t="s">
        <v>308</v>
      </c>
      <c r="F170" s="22" t="s">
        <v>309</v>
      </c>
      <c r="G170" s="22" t="s">
        <v>64</v>
      </c>
      <c r="H170">
        <v>10</v>
      </c>
      <c r="I170">
        <v>9</v>
      </c>
      <c r="J170" s="15">
        <v>43047</v>
      </c>
      <c r="K170">
        <v>-1.373966</v>
      </c>
      <c r="L170">
        <v>29.810459000000002</v>
      </c>
      <c r="M170">
        <v>1907</v>
      </c>
      <c r="N170" t="s">
        <v>64</v>
      </c>
      <c r="O170" s="18" t="s">
        <v>1197</v>
      </c>
      <c r="P170" s="132">
        <f>23*9</f>
        <v>207</v>
      </c>
      <c r="Q170" s="20">
        <v>4</v>
      </c>
      <c r="R170" s="16" t="s">
        <v>1198</v>
      </c>
      <c r="S170" s="16">
        <v>0</v>
      </c>
      <c r="T170" s="18">
        <v>1</v>
      </c>
      <c r="U170" s="16">
        <v>1</v>
      </c>
      <c r="V170" s="16">
        <f>AVERAGE(3,4,4,6,7)</f>
        <v>4.8</v>
      </c>
      <c r="W170" s="16">
        <v>0</v>
      </c>
      <c r="X170" s="16" t="s">
        <v>64</v>
      </c>
      <c r="Y170" s="16">
        <v>3</v>
      </c>
      <c r="Z170" s="16" t="s">
        <v>61</v>
      </c>
      <c r="AA170" s="113" t="s">
        <v>61</v>
      </c>
      <c r="AB170" s="20" t="s">
        <v>61</v>
      </c>
      <c r="AC170" s="20">
        <v>0</v>
      </c>
      <c r="AD170" s="20" t="s">
        <v>64</v>
      </c>
      <c r="AE170" s="16" t="s">
        <v>64</v>
      </c>
      <c r="AF170" s="20" t="s">
        <v>64</v>
      </c>
      <c r="AG170" s="20" t="s">
        <v>64</v>
      </c>
      <c r="AH170" s="20" t="s">
        <v>61</v>
      </c>
      <c r="AI170" s="16">
        <v>0</v>
      </c>
      <c r="AJ170" s="16" t="s">
        <v>64</v>
      </c>
      <c r="AK170" s="16" t="s">
        <v>64</v>
      </c>
      <c r="AL170" s="16" t="s">
        <v>64</v>
      </c>
      <c r="AM170" s="16" t="s">
        <v>64</v>
      </c>
      <c r="AN170" s="16" t="s">
        <v>64</v>
      </c>
      <c r="AO170" s="16" t="s">
        <v>64</v>
      </c>
      <c r="AP170" s="16">
        <v>0</v>
      </c>
      <c r="AQ170" s="127">
        <v>0</v>
      </c>
      <c r="AR170" t="s">
        <v>64</v>
      </c>
      <c r="AS170" t="s">
        <v>64</v>
      </c>
    </row>
    <row r="171" spans="1:48">
      <c r="A171" t="s">
        <v>761</v>
      </c>
      <c r="B171" t="s">
        <v>144</v>
      </c>
      <c r="C171" t="s">
        <v>260</v>
      </c>
      <c r="D171" s="22" t="s">
        <v>307</v>
      </c>
      <c r="E171" s="22" t="s">
        <v>316</v>
      </c>
      <c r="F171" s="22" t="s">
        <v>1090</v>
      </c>
      <c r="G171" s="22" t="s">
        <v>64</v>
      </c>
      <c r="H171">
        <v>11</v>
      </c>
      <c r="I171">
        <v>10</v>
      </c>
      <c r="J171" s="15">
        <v>43047</v>
      </c>
      <c r="K171">
        <v>-1.3495680000000001</v>
      </c>
      <c r="L171">
        <v>29.820024</v>
      </c>
      <c r="M171">
        <v>1955</v>
      </c>
      <c r="N171">
        <v>784320347</v>
      </c>
      <c r="O171" s="18" t="s">
        <v>1199</v>
      </c>
      <c r="P171" s="132">
        <f>28*8</f>
        <v>224</v>
      </c>
      <c r="Q171" s="20">
        <v>6</v>
      </c>
      <c r="R171" s="16" t="s">
        <v>1200</v>
      </c>
      <c r="S171" s="16">
        <v>1</v>
      </c>
      <c r="T171" s="18">
        <f>AVERAGE(2,1,1,3,1)</f>
        <v>1.6</v>
      </c>
      <c r="U171" s="16">
        <v>1</v>
      </c>
      <c r="V171" s="16">
        <f>AVERAGE(5,6,6,3,5)</f>
        <v>5</v>
      </c>
      <c r="W171" s="16">
        <v>0</v>
      </c>
      <c r="X171" s="16" t="s">
        <v>64</v>
      </c>
      <c r="Y171" s="16">
        <v>0</v>
      </c>
      <c r="Z171" s="16" t="s">
        <v>61</v>
      </c>
      <c r="AA171" s="16" t="s">
        <v>61</v>
      </c>
      <c r="AB171" s="20" t="s">
        <v>61</v>
      </c>
      <c r="AC171" s="20">
        <v>0</v>
      </c>
      <c r="AD171" s="20" t="s">
        <v>64</v>
      </c>
      <c r="AE171" s="16" t="s">
        <v>64</v>
      </c>
      <c r="AF171" s="20" t="s">
        <v>64</v>
      </c>
      <c r="AG171" s="20" t="s">
        <v>64</v>
      </c>
      <c r="AH171" s="20" t="s">
        <v>61</v>
      </c>
      <c r="AI171" s="16">
        <v>0</v>
      </c>
      <c r="AJ171" s="16" t="s">
        <v>64</v>
      </c>
      <c r="AK171" s="16" t="s">
        <v>64</v>
      </c>
      <c r="AL171" s="16" t="s">
        <v>64</v>
      </c>
      <c r="AM171" s="16" t="s">
        <v>64</v>
      </c>
      <c r="AN171" s="16" t="s">
        <v>64</v>
      </c>
      <c r="AO171" s="16" t="s">
        <v>64</v>
      </c>
      <c r="AP171" s="16">
        <v>0</v>
      </c>
      <c r="AQ171" s="127">
        <v>0</v>
      </c>
      <c r="AR171" s="127" t="s">
        <v>64</v>
      </c>
      <c r="AS171" s="127" t="s">
        <v>64</v>
      </c>
    </row>
    <row r="172" spans="1:48">
      <c r="A172" t="s">
        <v>761</v>
      </c>
      <c r="B172" t="s">
        <v>144</v>
      </c>
      <c r="C172" t="s">
        <v>260</v>
      </c>
      <c r="D172" s="22" t="s">
        <v>307</v>
      </c>
      <c r="E172" s="22" t="s">
        <v>316</v>
      </c>
      <c r="F172" s="22" t="s">
        <v>358</v>
      </c>
      <c r="G172" s="22" t="s">
        <v>64</v>
      </c>
      <c r="H172">
        <v>12</v>
      </c>
      <c r="I172">
        <v>11</v>
      </c>
      <c r="J172" s="15">
        <v>43047</v>
      </c>
      <c r="K172">
        <v>-1.415052</v>
      </c>
      <c r="L172">
        <v>29.805969000000001</v>
      </c>
      <c r="M172">
        <v>2032</v>
      </c>
      <c r="N172" t="s">
        <v>64</v>
      </c>
      <c r="O172" s="18" t="s">
        <v>1201</v>
      </c>
      <c r="P172" s="132">
        <f>15*20</f>
        <v>300</v>
      </c>
      <c r="Q172" s="20">
        <v>5</v>
      </c>
      <c r="R172" s="16" t="s">
        <v>1202</v>
      </c>
      <c r="S172" s="16">
        <v>1</v>
      </c>
      <c r="T172" s="18">
        <f>AVERAGE(1,1,1,1,3)</f>
        <v>1.4</v>
      </c>
      <c r="U172" s="16">
        <v>1</v>
      </c>
      <c r="V172" s="16">
        <f>AVERAGE(3,4,5,4,3)</f>
        <v>3.8</v>
      </c>
      <c r="W172" s="16">
        <v>0</v>
      </c>
      <c r="X172" s="16" t="s">
        <v>64</v>
      </c>
      <c r="Y172" s="16">
        <v>0</v>
      </c>
      <c r="Z172" s="16" t="s">
        <v>61</v>
      </c>
      <c r="AA172" s="16" t="s">
        <v>61</v>
      </c>
      <c r="AB172" s="20" t="s">
        <v>61</v>
      </c>
      <c r="AC172" s="20">
        <v>0</v>
      </c>
      <c r="AD172" s="20" t="s">
        <v>64</v>
      </c>
      <c r="AE172" s="16" t="s">
        <v>64</v>
      </c>
      <c r="AF172" s="20" t="s">
        <v>64</v>
      </c>
      <c r="AG172" s="20" t="s">
        <v>64</v>
      </c>
      <c r="AH172" s="20" t="s">
        <v>61</v>
      </c>
      <c r="AI172" s="16">
        <v>1</v>
      </c>
      <c r="AJ172" t="s">
        <v>64</v>
      </c>
      <c r="AK172">
        <v>45</v>
      </c>
      <c r="AL172">
        <f>1/40*100</f>
        <v>2.5</v>
      </c>
      <c r="AM172">
        <f>0.05/1.23*100</f>
        <v>4.0650406504065044</v>
      </c>
      <c r="AN172">
        <v>0</v>
      </c>
      <c r="AO172">
        <v>0</v>
      </c>
      <c r="AP172" s="16">
        <v>1</v>
      </c>
      <c r="AQ172" s="127">
        <v>0</v>
      </c>
      <c r="AR172" t="s">
        <v>64</v>
      </c>
      <c r="AS172" t="s">
        <v>64</v>
      </c>
    </row>
    <row r="173" spans="1:48">
      <c r="A173" t="s">
        <v>761</v>
      </c>
      <c r="B173" t="s">
        <v>144</v>
      </c>
      <c r="C173" t="s">
        <v>260</v>
      </c>
      <c r="D173" s="22" t="s">
        <v>307</v>
      </c>
      <c r="E173" s="22" t="s">
        <v>361</v>
      </c>
      <c r="F173" s="22" t="s">
        <v>1203</v>
      </c>
      <c r="G173" s="22" t="s">
        <v>64</v>
      </c>
      <c r="H173">
        <v>13</v>
      </c>
      <c r="I173">
        <v>12</v>
      </c>
      <c r="J173" s="15">
        <v>43047</v>
      </c>
      <c r="K173">
        <v>-1.4171370000000001</v>
      </c>
      <c r="L173">
        <v>29.805969000000001</v>
      </c>
      <c r="M173">
        <v>2062</v>
      </c>
      <c r="N173">
        <v>785064520</v>
      </c>
      <c r="O173" s="18" t="s">
        <v>1204</v>
      </c>
      <c r="P173" s="132">
        <f>20*13</f>
        <v>260</v>
      </c>
      <c r="Q173" s="20">
        <v>6</v>
      </c>
      <c r="R173" s="16" t="s">
        <v>1205</v>
      </c>
      <c r="S173" s="16">
        <v>1</v>
      </c>
      <c r="T173" s="18">
        <f>AVERAGE(1,1,1,1,3)</f>
        <v>1.4</v>
      </c>
      <c r="U173" s="16">
        <v>1</v>
      </c>
      <c r="V173" s="16">
        <f>AVERAGE(6,5,5,6,6)</f>
        <v>5.6</v>
      </c>
      <c r="W173" s="16">
        <v>0</v>
      </c>
      <c r="X173" s="16" t="s">
        <v>64</v>
      </c>
      <c r="Y173" s="16">
        <v>0</v>
      </c>
      <c r="Z173" s="16" t="s">
        <v>61</v>
      </c>
      <c r="AA173" s="16" t="s">
        <v>61</v>
      </c>
      <c r="AB173" s="20" t="s">
        <v>61</v>
      </c>
      <c r="AC173" s="20">
        <v>0</v>
      </c>
      <c r="AD173" s="20" t="s">
        <v>64</v>
      </c>
      <c r="AE173" s="16" t="s">
        <v>64</v>
      </c>
      <c r="AF173" s="20" t="s">
        <v>64</v>
      </c>
      <c r="AG173" s="20" t="s">
        <v>64</v>
      </c>
      <c r="AH173" s="20" t="s">
        <v>61</v>
      </c>
      <c r="AI173" s="16">
        <v>0</v>
      </c>
      <c r="AJ173" s="16" t="s">
        <v>64</v>
      </c>
      <c r="AK173" s="16" t="s">
        <v>64</v>
      </c>
      <c r="AL173" s="16" t="s">
        <v>64</v>
      </c>
      <c r="AM173" s="16" t="s">
        <v>64</v>
      </c>
      <c r="AN173" s="16" t="s">
        <v>64</v>
      </c>
      <c r="AO173" s="16" t="s">
        <v>64</v>
      </c>
      <c r="AP173" s="16">
        <v>1</v>
      </c>
      <c r="AQ173" s="127">
        <v>0</v>
      </c>
      <c r="AR173" t="s">
        <v>64</v>
      </c>
      <c r="AS173" t="s">
        <v>64</v>
      </c>
    </row>
    <row r="174" spans="1:48">
      <c r="A174" t="s">
        <v>761</v>
      </c>
      <c r="B174" t="s">
        <v>144</v>
      </c>
      <c r="C174" t="s">
        <v>260</v>
      </c>
      <c r="D174" s="22" t="s">
        <v>307</v>
      </c>
      <c r="E174" s="22" t="s">
        <v>371</v>
      </c>
      <c r="F174" s="22" t="s">
        <v>558</v>
      </c>
      <c r="G174" s="22" t="s">
        <v>64</v>
      </c>
      <c r="H174">
        <v>14</v>
      </c>
      <c r="I174">
        <v>13</v>
      </c>
      <c r="J174" s="15">
        <v>43048</v>
      </c>
      <c r="K174">
        <v>-1.556951</v>
      </c>
      <c r="L174">
        <v>29.934694</v>
      </c>
      <c r="M174">
        <v>2283</v>
      </c>
      <c r="N174">
        <v>789546312</v>
      </c>
      <c r="O174" s="18" t="s">
        <v>1206</v>
      </c>
      <c r="P174" s="135">
        <f>17*11</f>
        <v>187</v>
      </c>
      <c r="Q174" s="20">
        <v>6</v>
      </c>
      <c r="R174" s="16" t="s">
        <v>1207</v>
      </c>
      <c r="S174" s="16">
        <v>1</v>
      </c>
      <c r="T174" s="18">
        <f>AVERAGE(2,1,1,1,1)</f>
        <v>1.2</v>
      </c>
      <c r="U174" s="16">
        <v>1</v>
      </c>
      <c r="V174" s="16">
        <f>AVERAGE(5,3,2,3,3)</f>
        <v>3.2</v>
      </c>
      <c r="W174" s="16">
        <v>0</v>
      </c>
      <c r="X174" s="16" t="s">
        <v>64</v>
      </c>
      <c r="Y174" s="16">
        <v>0</v>
      </c>
      <c r="Z174" s="16" t="s">
        <v>61</v>
      </c>
      <c r="AA174" s="16" t="s">
        <v>61</v>
      </c>
      <c r="AB174" s="20" t="s">
        <v>61</v>
      </c>
      <c r="AC174" s="20">
        <v>0</v>
      </c>
      <c r="AD174" s="20" t="s">
        <v>64</v>
      </c>
      <c r="AE174" s="16" t="s">
        <v>64</v>
      </c>
      <c r="AF174" s="20" t="s">
        <v>64</v>
      </c>
      <c r="AG174" s="20" t="s">
        <v>64</v>
      </c>
      <c r="AH174" s="20" t="s">
        <v>61</v>
      </c>
      <c r="AI174" s="16">
        <v>1</v>
      </c>
      <c r="AJ174" t="s">
        <v>64</v>
      </c>
      <c r="AK174" s="16">
        <v>55</v>
      </c>
      <c r="AL174">
        <v>0</v>
      </c>
      <c r="AM174" s="137">
        <v>0</v>
      </c>
      <c r="AN174">
        <v>0</v>
      </c>
      <c r="AO174" s="16">
        <v>0</v>
      </c>
      <c r="AP174" s="16">
        <v>1</v>
      </c>
      <c r="AQ174" s="127">
        <v>0</v>
      </c>
      <c r="AR174" t="s">
        <v>64</v>
      </c>
      <c r="AS174" t="s">
        <v>64</v>
      </c>
    </row>
    <row r="175" spans="1:48">
      <c r="A175" t="s">
        <v>761</v>
      </c>
      <c r="B175" t="s">
        <v>144</v>
      </c>
      <c r="C175" t="s">
        <v>260</v>
      </c>
      <c r="D175" s="22" t="s">
        <v>307</v>
      </c>
      <c r="E175" s="22" t="s">
        <v>371</v>
      </c>
      <c r="F175" s="22" t="s">
        <v>433</v>
      </c>
      <c r="G175" s="22" t="s">
        <v>64</v>
      </c>
      <c r="H175">
        <v>15</v>
      </c>
      <c r="I175">
        <v>14</v>
      </c>
      <c r="J175" s="15">
        <v>43048</v>
      </c>
      <c r="K175">
        <v>-1.577877</v>
      </c>
      <c r="L175">
        <v>29.94407</v>
      </c>
      <c r="M175">
        <v>2280</v>
      </c>
      <c r="N175" t="s">
        <v>64</v>
      </c>
      <c r="O175" s="18" t="s">
        <v>1208</v>
      </c>
      <c r="P175" s="132">
        <f>6*7</f>
        <v>42</v>
      </c>
      <c r="Q175" s="20">
        <v>5</v>
      </c>
      <c r="R175" s="16" t="s">
        <v>1093</v>
      </c>
      <c r="S175" s="16">
        <v>0</v>
      </c>
      <c r="T175" s="18">
        <v>1</v>
      </c>
      <c r="U175" s="16">
        <v>1</v>
      </c>
      <c r="V175" s="16">
        <f>AVERAGE(3,6,6,6,5)</f>
        <v>5.2</v>
      </c>
      <c r="W175" s="16">
        <v>0</v>
      </c>
      <c r="X175" s="16" t="s">
        <v>64</v>
      </c>
      <c r="Y175" s="16">
        <v>1</v>
      </c>
      <c r="Z175" s="16" t="s">
        <v>61</v>
      </c>
      <c r="AA175" s="16" t="s">
        <v>61</v>
      </c>
      <c r="AB175" s="20" t="s">
        <v>61</v>
      </c>
      <c r="AC175" s="20">
        <v>0</v>
      </c>
      <c r="AD175" s="20" t="s">
        <v>64</v>
      </c>
      <c r="AE175" s="16" t="s">
        <v>64</v>
      </c>
      <c r="AF175" s="20" t="s">
        <v>64</v>
      </c>
      <c r="AG175" s="20" t="s">
        <v>64</v>
      </c>
      <c r="AH175" s="26" t="s">
        <v>76</v>
      </c>
      <c r="AI175" s="16">
        <v>1</v>
      </c>
      <c r="AJ175" s="16" t="s">
        <v>64</v>
      </c>
      <c r="AK175">
        <f>AVERAGE(60,65)</f>
        <v>62.5</v>
      </c>
      <c r="AL175">
        <v>0</v>
      </c>
      <c r="AM175" s="137">
        <v>0</v>
      </c>
      <c r="AN175">
        <v>0</v>
      </c>
      <c r="AO175" s="16">
        <v>0</v>
      </c>
      <c r="AP175" s="16">
        <v>1</v>
      </c>
      <c r="AQ175" s="127">
        <v>0</v>
      </c>
      <c r="AR175" s="127" t="s">
        <v>64</v>
      </c>
      <c r="AS175" s="127" t="s">
        <v>64</v>
      </c>
    </row>
    <row r="176" spans="1:48">
      <c r="A176" t="s">
        <v>761</v>
      </c>
      <c r="B176" t="s">
        <v>144</v>
      </c>
      <c r="C176" t="s">
        <v>260</v>
      </c>
      <c r="D176" s="21" t="s">
        <v>307</v>
      </c>
      <c r="E176" s="22" t="s">
        <v>371</v>
      </c>
      <c r="F176" s="22" t="s">
        <v>372</v>
      </c>
      <c r="G176" s="22" t="s">
        <v>64</v>
      </c>
      <c r="H176">
        <v>16</v>
      </c>
      <c r="I176">
        <v>15</v>
      </c>
      <c r="J176" s="15">
        <v>43048</v>
      </c>
      <c r="K176">
        <v>-1.585259</v>
      </c>
      <c r="L176">
        <v>29.927966999999999</v>
      </c>
      <c r="M176">
        <v>2112</v>
      </c>
      <c r="N176">
        <v>722627570</v>
      </c>
      <c r="O176" s="18" t="s">
        <v>1209</v>
      </c>
      <c r="P176" s="132">
        <f>29*9</f>
        <v>261</v>
      </c>
      <c r="Q176" s="20">
        <v>6</v>
      </c>
      <c r="R176" s="16" t="s">
        <v>1210</v>
      </c>
      <c r="S176" s="16">
        <v>0</v>
      </c>
      <c r="T176" s="18">
        <v>1</v>
      </c>
      <c r="U176" s="16">
        <v>1</v>
      </c>
      <c r="V176" s="16">
        <f>AVERAGE(5,7,7,6,5)</f>
        <v>6</v>
      </c>
      <c r="W176" s="16">
        <v>0</v>
      </c>
      <c r="X176" s="16" t="s">
        <v>64</v>
      </c>
      <c r="Y176" s="16">
        <v>0</v>
      </c>
      <c r="Z176" s="16" t="s">
        <v>61</v>
      </c>
      <c r="AA176" s="16" t="s">
        <v>61</v>
      </c>
      <c r="AB176" s="20" t="s">
        <v>61</v>
      </c>
      <c r="AC176" s="20">
        <v>0</v>
      </c>
      <c r="AD176" s="20" t="s">
        <v>64</v>
      </c>
      <c r="AE176" s="16" t="s">
        <v>64</v>
      </c>
      <c r="AF176" s="20" t="s">
        <v>64</v>
      </c>
      <c r="AG176" s="20" t="s">
        <v>64</v>
      </c>
      <c r="AH176" s="26" t="s">
        <v>76</v>
      </c>
      <c r="AI176" s="16">
        <v>1</v>
      </c>
      <c r="AJ176" s="16" t="s">
        <v>64</v>
      </c>
      <c r="AK176">
        <f>AVERAGE(40,50)</f>
        <v>45</v>
      </c>
      <c r="AL176">
        <f>1/26*100</f>
        <v>3.8461538461538463</v>
      </c>
      <c r="AM176">
        <f>0.07/1.29*100</f>
        <v>5.4263565891472876</v>
      </c>
      <c r="AN176">
        <v>0</v>
      </c>
      <c r="AO176" s="16">
        <v>0</v>
      </c>
      <c r="AP176">
        <v>1</v>
      </c>
      <c r="AQ176" s="127">
        <v>0</v>
      </c>
      <c r="AR176" t="s">
        <v>64</v>
      </c>
      <c r="AS176" s="127" t="s">
        <v>64</v>
      </c>
    </row>
    <row r="177" spans="1:45">
      <c r="A177" t="s">
        <v>761</v>
      </c>
      <c r="B177" t="s">
        <v>144</v>
      </c>
      <c r="C177" t="s">
        <v>260</v>
      </c>
      <c r="D177" s="22" t="s">
        <v>307</v>
      </c>
      <c r="E177" s="22" t="s">
        <v>371</v>
      </c>
      <c r="F177" s="22" t="s">
        <v>410</v>
      </c>
      <c r="G177" s="22" t="s">
        <v>64</v>
      </c>
      <c r="H177">
        <v>17</v>
      </c>
      <c r="I177">
        <v>16</v>
      </c>
      <c r="J177" s="15">
        <v>43048</v>
      </c>
      <c r="K177">
        <v>-1.574363</v>
      </c>
      <c r="L177">
        <v>29.893424</v>
      </c>
      <c r="M177">
        <v>2287</v>
      </c>
      <c r="N177">
        <v>787897783</v>
      </c>
      <c r="O177" s="18" t="s">
        <v>1211</v>
      </c>
      <c r="P177" s="132">
        <f>16*5</f>
        <v>80</v>
      </c>
      <c r="Q177" s="20">
        <v>4</v>
      </c>
      <c r="R177" s="16" t="s">
        <v>1207</v>
      </c>
      <c r="S177" s="16">
        <v>0</v>
      </c>
      <c r="T177" s="18">
        <v>1</v>
      </c>
      <c r="U177" s="16">
        <v>1</v>
      </c>
      <c r="V177" s="16">
        <f>AVERAGE(4,5,5,5,6)</f>
        <v>5</v>
      </c>
      <c r="W177" s="16">
        <v>0</v>
      </c>
      <c r="X177" s="16" t="s">
        <v>64</v>
      </c>
      <c r="Y177" s="16">
        <v>0</v>
      </c>
      <c r="Z177" s="16" t="s">
        <v>47</v>
      </c>
      <c r="AA177" s="16" t="s">
        <v>61</v>
      </c>
      <c r="AB177" s="20" t="s">
        <v>61</v>
      </c>
      <c r="AC177" s="20">
        <v>0</v>
      </c>
      <c r="AD177" s="20" t="s">
        <v>64</v>
      </c>
      <c r="AE177" s="16" t="s">
        <v>64</v>
      </c>
      <c r="AF177" s="20" t="s">
        <v>64</v>
      </c>
      <c r="AG177" s="20" t="s">
        <v>64</v>
      </c>
      <c r="AH177" s="20" t="s">
        <v>61</v>
      </c>
      <c r="AI177" s="16">
        <v>1</v>
      </c>
      <c r="AJ177" s="16" t="s">
        <v>64</v>
      </c>
      <c r="AK177">
        <f>AVERAGE(30,40)</f>
        <v>35</v>
      </c>
      <c r="AL177">
        <v>0</v>
      </c>
      <c r="AM177" s="137">
        <v>0</v>
      </c>
      <c r="AN177">
        <v>0</v>
      </c>
      <c r="AO177" s="16">
        <v>0</v>
      </c>
      <c r="AP177" s="16">
        <v>1</v>
      </c>
      <c r="AQ177" s="127">
        <v>0</v>
      </c>
      <c r="AR177" s="127" t="s">
        <v>64</v>
      </c>
      <c r="AS177" s="127" t="s">
        <v>64</v>
      </c>
    </row>
    <row r="178" spans="1:45">
      <c r="A178" t="s">
        <v>761</v>
      </c>
      <c r="B178" t="s">
        <v>144</v>
      </c>
      <c r="C178" t="s">
        <v>260</v>
      </c>
      <c r="D178" s="22" t="s">
        <v>307</v>
      </c>
      <c r="E178" s="22" t="s">
        <v>371</v>
      </c>
      <c r="F178" s="22" t="s">
        <v>410</v>
      </c>
      <c r="G178" s="22" t="s">
        <v>64</v>
      </c>
      <c r="H178">
        <v>18</v>
      </c>
      <c r="I178">
        <v>17</v>
      </c>
      <c r="J178" s="15">
        <v>43048</v>
      </c>
      <c r="K178">
        <v>-1.5441100000000001</v>
      </c>
      <c r="L178">
        <v>29.88739</v>
      </c>
      <c r="M178">
        <v>2257</v>
      </c>
      <c r="N178">
        <v>781509243</v>
      </c>
      <c r="O178" s="18" t="s">
        <v>1212</v>
      </c>
      <c r="P178" s="132">
        <f>23*10</f>
        <v>230</v>
      </c>
      <c r="Q178" s="20">
        <v>8</v>
      </c>
      <c r="R178" s="16" t="s">
        <v>1213</v>
      </c>
      <c r="S178" s="16">
        <v>1</v>
      </c>
      <c r="T178" s="18">
        <f>AVERAGE(1,1,1,1,2)</f>
        <v>1.2</v>
      </c>
      <c r="U178" s="16">
        <v>1</v>
      </c>
      <c r="V178" s="16">
        <f>AVERAGE(5,7,6,6,7)</f>
        <v>6.2</v>
      </c>
      <c r="W178" s="16">
        <v>0</v>
      </c>
      <c r="X178" s="16" t="s">
        <v>64</v>
      </c>
      <c r="Y178" s="16">
        <v>0</v>
      </c>
      <c r="Z178" s="16" t="s">
        <v>61</v>
      </c>
      <c r="AA178" s="16" t="s">
        <v>61</v>
      </c>
      <c r="AB178" s="20" t="s">
        <v>61</v>
      </c>
      <c r="AC178" s="20">
        <v>0</v>
      </c>
      <c r="AD178" s="20" t="s">
        <v>64</v>
      </c>
      <c r="AE178" s="16" t="s">
        <v>64</v>
      </c>
      <c r="AF178" s="20" t="s">
        <v>64</v>
      </c>
      <c r="AG178" s="20" t="s">
        <v>64</v>
      </c>
      <c r="AH178" s="20" t="s">
        <v>61</v>
      </c>
      <c r="AI178" s="16">
        <v>1</v>
      </c>
      <c r="AJ178" s="16" t="s">
        <v>64</v>
      </c>
      <c r="AK178">
        <f>AVERAGE(60,65)</f>
        <v>62.5</v>
      </c>
      <c r="AL178">
        <v>0</v>
      </c>
      <c r="AM178" s="137">
        <v>0</v>
      </c>
      <c r="AN178">
        <v>1</v>
      </c>
      <c r="AO178" s="16">
        <v>0</v>
      </c>
      <c r="AP178" s="16">
        <v>1</v>
      </c>
      <c r="AQ178" s="127">
        <v>0</v>
      </c>
      <c r="AR178" s="127" t="s">
        <v>64</v>
      </c>
      <c r="AS178" s="127" t="s">
        <v>64</v>
      </c>
    </row>
    <row r="179" spans="1:45">
      <c r="A179" t="s">
        <v>761</v>
      </c>
      <c r="B179" t="s">
        <v>144</v>
      </c>
      <c r="C179" t="s">
        <v>260</v>
      </c>
      <c r="D179" s="22" t="s">
        <v>307</v>
      </c>
      <c r="E179" s="22" t="s">
        <v>341</v>
      </c>
      <c r="F179" s="22" t="s">
        <v>437</v>
      </c>
      <c r="G179" s="22" t="s">
        <v>64</v>
      </c>
      <c r="H179">
        <v>19</v>
      </c>
      <c r="I179">
        <v>18</v>
      </c>
      <c r="J179" s="15">
        <v>43048</v>
      </c>
      <c r="K179">
        <v>-1.5204070000000001</v>
      </c>
      <c r="L179">
        <v>29.879843999999999</v>
      </c>
      <c r="M179">
        <v>2207</v>
      </c>
      <c r="N179">
        <v>734230164</v>
      </c>
      <c r="O179" t="s">
        <v>1214</v>
      </c>
      <c r="P179" s="132">
        <f>23*9</f>
        <v>207</v>
      </c>
      <c r="Q179" s="20">
        <v>6</v>
      </c>
      <c r="R179" s="16" t="s">
        <v>1202</v>
      </c>
      <c r="S179" s="16">
        <v>1</v>
      </c>
      <c r="T179" s="18">
        <f>AVERAGE(1,1,1,1,2)</f>
        <v>1.2</v>
      </c>
      <c r="U179" s="16">
        <v>1</v>
      </c>
      <c r="V179" s="16">
        <f>AVERAGE(6,5,6,5,7)</f>
        <v>5.8</v>
      </c>
      <c r="W179" s="16">
        <v>0</v>
      </c>
      <c r="X179" s="16" t="s">
        <v>64</v>
      </c>
      <c r="Y179" s="16">
        <v>0</v>
      </c>
      <c r="Z179" s="16" t="s">
        <v>61</v>
      </c>
      <c r="AA179" s="16" t="s">
        <v>61</v>
      </c>
      <c r="AB179" s="20" t="s">
        <v>61</v>
      </c>
      <c r="AC179" s="20">
        <v>0</v>
      </c>
      <c r="AD179" s="20" t="s">
        <v>64</v>
      </c>
      <c r="AE179" s="16" t="s">
        <v>64</v>
      </c>
      <c r="AF179" s="20" t="s">
        <v>64</v>
      </c>
      <c r="AG179" s="20" t="s">
        <v>64</v>
      </c>
      <c r="AH179" s="20" t="s">
        <v>61</v>
      </c>
      <c r="AI179" s="16">
        <v>0</v>
      </c>
      <c r="AJ179" s="16" t="s">
        <v>64</v>
      </c>
      <c r="AK179" s="16" t="s">
        <v>64</v>
      </c>
      <c r="AL179" s="16" t="s">
        <v>64</v>
      </c>
      <c r="AM179" s="16" t="s">
        <v>64</v>
      </c>
      <c r="AN179" s="16" t="s">
        <v>64</v>
      </c>
      <c r="AO179" s="16" t="s">
        <v>64</v>
      </c>
      <c r="AP179" s="16">
        <v>1</v>
      </c>
      <c r="AQ179" s="127">
        <v>0</v>
      </c>
      <c r="AR179" s="127" t="s">
        <v>64</v>
      </c>
      <c r="AS179" s="127" t="s">
        <v>64</v>
      </c>
    </row>
    <row r="180" spans="1:45">
      <c r="A180" t="s">
        <v>761</v>
      </c>
      <c r="B180" t="s">
        <v>144</v>
      </c>
      <c r="C180" t="s">
        <v>260</v>
      </c>
      <c r="D180" s="22" t="s">
        <v>307</v>
      </c>
      <c r="E180" s="22" t="s">
        <v>341</v>
      </c>
      <c r="F180" s="22" t="s">
        <v>342</v>
      </c>
      <c r="G180" s="22" t="s">
        <v>64</v>
      </c>
      <c r="H180">
        <v>20</v>
      </c>
      <c r="I180">
        <v>19</v>
      </c>
      <c r="J180" s="15">
        <v>43048</v>
      </c>
      <c r="K180">
        <v>-1.493525</v>
      </c>
      <c r="L180">
        <v>29.854499000000001</v>
      </c>
      <c r="M180">
        <v>2249</v>
      </c>
      <c r="N180">
        <v>785134534</v>
      </c>
      <c r="O180" t="s">
        <v>1215</v>
      </c>
      <c r="P180" s="132">
        <f>33*5</f>
        <v>165</v>
      </c>
      <c r="Q180" s="20">
        <v>6</v>
      </c>
      <c r="R180" s="16" t="s">
        <v>1202</v>
      </c>
      <c r="S180" s="16">
        <v>0</v>
      </c>
      <c r="T180" s="18">
        <v>1</v>
      </c>
      <c r="U180" s="16">
        <v>1</v>
      </c>
      <c r="V180" s="16">
        <f>AVERAGE(5,4,7,5,4)</f>
        <v>5</v>
      </c>
      <c r="W180" s="16">
        <v>0</v>
      </c>
      <c r="X180" s="16" t="s">
        <v>64</v>
      </c>
      <c r="Y180" s="16">
        <v>0</v>
      </c>
      <c r="Z180" s="16" t="s">
        <v>61</v>
      </c>
      <c r="AA180" s="16" t="s">
        <v>61</v>
      </c>
      <c r="AB180" s="20" t="s">
        <v>61</v>
      </c>
      <c r="AC180" s="20">
        <v>0</v>
      </c>
      <c r="AD180" s="20" t="s">
        <v>64</v>
      </c>
      <c r="AE180" s="16" t="s">
        <v>64</v>
      </c>
      <c r="AF180" s="20" t="s">
        <v>64</v>
      </c>
      <c r="AG180" s="20" t="s">
        <v>64</v>
      </c>
      <c r="AH180" s="20" t="s">
        <v>61</v>
      </c>
      <c r="AI180" s="16">
        <v>0</v>
      </c>
      <c r="AJ180" s="16" t="s">
        <v>64</v>
      </c>
      <c r="AK180" s="16" t="s">
        <v>64</v>
      </c>
      <c r="AL180" s="16" t="s">
        <v>64</v>
      </c>
      <c r="AM180" s="16" t="s">
        <v>64</v>
      </c>
      <c r="AN180" s="16" t="s">
        <v>64</v>
      </c>
      <c r="AO180" s="16" t="s">
        <v>64</v>
      </c>
      <c r="AP180" s="16">
        <v>1</v>
      </c>
      <c r="AQ180" s="127">
        <v>0</v>
      </c>
      <c r="AR180" s="127" t="s">
        <v>64</v>
      </c>
      <c r="AS180" s="127" t="s">
        <v>64</v>
      </c>
    </row>
    <row r="181" spans="1:45">
      <c r="A181" t="s">
        <v>761</v>
      </c>
      <c r="B181" t="s">
        <v>144</v>
      </c>
      <c r="C181" t="s">
        <v>260</v>
      </c>
      <c r="D181" s="22" t="s">
        <v>307</v>
      </c>
      <c r="E181" s="22" t="s">
        <v>347</v>
      </c>
      <c r="F181" s="22" t="s">
        <v>348</v>
      </c>
      <c r="G181" s="22" t="s">
        <v>64</v>
      </c>
      <c r="H181">
        <v>21</v>
      </c>
      <c r="I181">
        <v>20</v>
      </c>
      <c r="J181" s="15">
        <v>43048</v>
      </c>
      <c r="K181">
        <v>-1.4937720000000001</v>
      </c>
      <c r="L181">
        <v>29.820889999999999</v>
      </c>
      <c r="M181">
        <v>1985</v>
      </c>
      <c r="N181">
        <v>783129658</v>
      </c>
      <c r="O181" t="s">
        <v>1216</v>
      </c>
      <c r="P181" s="132">
        <f>43*13</f>
        <v>559</v>
      </c>
      <c r="Q181" s="20">
        <v>6</v>
      </c>
      <c r="R181" s="16" t="s">
        <v>1202</v>
      </c>
      <c r="S181" s="16">
        <v>1</v>
      </c>
      <c r="T181" s="18">
        <f>AVERAGE(1,1,1,1,2)</f>
        <v>1.2</v>
      </c>
      <c r="U181" s="16">
        <v>1</v>
      </c>
      <c r="V181" s="16">
        <f>AVERAGE(5,6,7,7,6)</f>
        <v>6.2</v>
      </c>
      <c r="W181" s="16">
        <v>0</v>
      </c>
      <c r="X181" s="16" t="s">
        <v>64</v>
      </c>
      <c r="Y181" s="16">
        <v>0</v>
      </c>
      <c r="Z181" s="16" t="s">
        <v>61</v>
      </c>
      <c r="AA181" s="16" t="s">
        <v>61</v>
      </c>
      <c r="AB181" s="20" t="s">
        <v>61</v>
      </c>
      <c r="AC181" s="20">
        <v>0</v>
      </c>
      <c r="AD181" s="20" t="s">
        <v>64</v>
      </c>
      <c r="AE181" s="16" t="s">
        <v>64</v>
      </c>
      <c r="AF181" s="20" t="s">
        <v>64</v>
      </c>
      <c r="AG181" s="20" t="s">
        <v>64</v>
      </c>
      <c r="AH181" s="20" t="s">
        <v>61</v>
      </c>
      <c r="AI181" s="16">
        <v>1</v>
      </c>
      <c r="AJ181" s="16" t="s">
        <v>64</v>
      </c>
      <c r="AK181">
        <v>60</v>
      </c>
      <c r="AL181">
        <v>0</v>
      </c>
      <c r="AM181" s="137">
        <v>0</v>
      </c>
      <c r="AN181" s="16">
        <v>1</v>
      </c>
      <c r="AO181" s="16">
        <v>0</v>
      </c>
      <c r="AP181" s="16">
        <v>1</v>
      </c>
      <c r="AQ181" s="127">
        <v>0</v>
      </c>
      <c r="AR181" s="127" t="s">
        <v>64</v>
      </c>
      <c r="AS181" s="127" t="s">
        <v>64</v>
      </c>
    </row>
    <row r="182" spans="1:45">
      <c r="A182" t="s">
        <v>761</v>
      </c>
      <c r="B182" t="s">
        <v>144</v>
      </c>
      <c r="C182" t="s">
        <v>260</v>
      </c>
      <c r="D182" s="22" t="s">
        <v>261</v>
      </c>
      <c r="E182" s="22" t="s">
        <v>716</v>
      </c>
      <c r="F182" s="22" t="s">
        <v>1217</v>
      </c>
      <c r="G182" s="22" t="s">
        <v>64</v>
      </c>
      <c r="H182">
        <v>22</v>
      </c>
      <c r="I182">
        <v>21</v>
      </c>
      <c r="J182" s="15">
        <v>43049</v>
      </c>
      <c r="K182">
        <v>-1.5887370000000001</v>
      </c>
      <c r="L182">
        <v>29.646252</v>
      </c>
      <c r="M182">
        <v>1564</v>
      </c>
      <c r="N182" t="s">
        <v>64</v>
      </c>
      <c r="O182" s="18" t="s">
        <v>1218</v>
      </c>
      <c r="P182" s="132">
        <f>24*13</f>
        <v>312</v>
      </c>
      <c r="Q182" s="20">
        <v>5</v>
      </c>
      <c r="R182" s="16" t="s">
        <v>1219</v>
      </c>
      <c r="S182" s="16">
        <v>0</v>
      </c>
      <c r="T182" s="18">
        <f>AVERAGE(1)</f>
        <v>1</v>
      </c>
      <c r="U182" s="16">
        <v>1</v>
      </c>
      <c r="V182" s="16">
        <f>AVERAGE(7,6,6,7,6)</f>
        <v>6.4</v>
      </c>
      <c r="W182" s="16">
        <v>0</v>
      </c>
      <c r="X182" s="16" t="s">
        <v>64</v>
      </c>
      <c r="Y182" s="16">
        <v>0</v>
      </c>
      <c r="Z182" s="16" t="s">
        <v>61</v>
      </c>
      <c r="AA182" s="16" t="s">
        <v>61</v>
      </c>
      <c r="AB182" s="20" t="s">
        <v>61</v>
      </c>
      <c r="AC182" s="20">
        <v>0</v>
      </c>
      <c r="AD182" s="20" t="s">
        <v>64</v>
      </c>
      <c r="AE182" s="16" t="s">
        <v>64</v>
      </c>
      <c r="AF182" s="20" t="s">
        <v>64</v>
      </c>
      <c r="AG182" s="20" t="s">
        <v>64</v>
      </c>
      <c r="AH182" s="20" t="s">
        <v>61</v>
      </c>
      <c r="AI182" s="16">
        <v>0</v>
      </c>
      <c r="AJ182" s="16" t="s">
        <v>64</v>
      </c>
      <c r="AK182" s="16" t="s">
        <v>64</v>
      </c>
      <c r="AL182" s="16" t="s">
        <v>64</v>
      </c>
      <c r="AM182" s="16" t="s">
        <v>64</v>
      </c>
      <c r="AN182" s="16" t="s">
        <v>64</v>
      </c>
      <c r="AO182" s="16" t="s">
        <v>64</v>
      </c>
      <c r="AP182" s="16">
        <v>0</v>
      </c>
      <c r="AQ182" s="127">
        <v>0</v>
      </c>
      <c r="AR182" s="127" t="s">
        <v>64</v>
      </c>
      <c r="AS182" s="127" t="s">
        <v>64</v>
      </c>
    </row>
    <row r="183" spans="1:45">
      <c r="A183" t="s">
        <v>761</v>
      </c>
      <c r="B183" t="s">
        <v>144</v>
      </c>
      <c r="C183" t="s">
        <v>260</v>
      </c>
      <c r="D183" s="22" t="s">
        <v>380</v>
      </c>
      <c r="E183" s="22" t="s">
        <v>1025</v>
      </c>
      <c r="F183" s="22" t="s">
        <v>1026</v>
      </c>
      <c r="G183" s="22" t="s">
        <v>64</v>
      </c>
      <c r="H183">
        <v>23</v>
      </c>
      <c r="I183">
        <v>22</v>
      </c>
      <c r="J183" s="15">
        <v>43049</v>
      </c>
      <c r="K183">
        <v>-1.6225860000000001</v>
      </c>
      <c r="L183">
        <v>29.631537999999999</v>
      </c>
      <c r="M183">
        <v>1496</v>
      </c>
      <c r="N183">
        <v>783818653</v>
      </c>
      <c r="O183" s="18" t="s">
        <v>1220</v>
      </c>
      <c r="P183" s="132">
        <f>34*2</f>
        <v>68</v>
      </c>
      <c r="Q183" s="20">
        <v>6</v>
      </c>
      <c r="R183" s="16" t="s">
        <v>1219</v>
      </c>
      <c r="S183" s="16">
        <v>0</v>
      </c>
      <c r="T183" s="18">
        <v>1</v>
      </c>
      <c r="U183" s="16">
        <v>1</v>
      </c>
      <c r="V183" s="16">
        <f>AVERAGE(6,7,4,8,7)</f>
        <v>6.4</v>
      </c>
      <c r="W183" s="16">
        <v>0</v>
      </c>
      <c r="X183" s="16" t="s">
        <v>64</v>
      </c>
      <c r="Y183" s="16">
        <v>0</v>
      </c>
      <c r="Z183" s="16" t="s">
        <v>61</v>
      </c>
      <c r="AA183" s="16" t="s">
        <v>61</v>
      </c>
      <c r="AB183" s="20" t="s">
        <v>61</v>
      </c>
      <c r="AC183" s="20">
        <v>0</v>
      </c>
      <c r="AD183" s="20" t="s">
        <v>64</v>
      </c>
      <c r="AE183" s="16" t="s">
        <v>64</v>
      </c>
      <c r="AF183" s="20" t="s">
        <v>64</v>
      </c>
      <c r="AG183" s="20" t="s">
        <v>64</v>
      </c>
      <c r="AH183" s="20" t="s">
        <v>61</v>
      </c>
      <c r="AI183" s="16">
        <v>0</v>
      </c>
      <c r="AJ183" s="16" t="s">
        <v>64</v>
      </c>
      <c r="AK183" s="16" t="s">
        <v>64</v>
      </c>
      <c r="AL183" s="16" t="s">
        <v>64</v>
      </c>
      <c r="AM183" s="16" t="s">
        <v>64</v>
      </c>
      <c r="AN183" s="16" t="s">
        <v>64</v>
      </c>
      <c r="AO183" s="16" t="s">
        <v>64</v>
      </c>
      <c r="AP183" s="16">
        <v>0</v>
      </c>
      <c r="AQ183" s="127">
        <v>0</v>
      </c>
      <c r="AR183" s="127" t="s">
        <v>64</v>
      </c>
      <c r="AS183" s="127" t="s">
        <v>64</v>
      </c>
    </row>
    <row r="184" spans="1:45">
      <c r="A184" t="s">
        <v>761</v>
      </c>
      <c r="B184" t="s">
        <v>144</v>
      </c>
      <c r="C184" t="s">
        <v>260</v>
      </c>
      <c r="D184" s="22" t="s">
        <v>540</v>
      </c>
      <c r="E184" s="22" t="s">
        <v>1221</v>
      </c>
      <c r="F184" s="22" t="s">
        <v>1222</v>
      </c>
      <c r="G184" s="22" t="s">
        <v>64</v>
      </c>
      <c r="H184">
        <v>24</v>
      </c>
      <c r="I184">
        <v>23</v>
      </c>
      <c r="J184" s="15">
        <v>43049</v>
      </c>
      <c r="K184">
        <v>-1.69486</v>
      </c>
      <c r="L184">
        <v>29.637744000000001</v>
      </c>
      <c r="M184">
        <v>1427</v>
      </c>
      <c r="N184" t="s">
        <v>64</v>
      </c>
      <c r="O184" s="18" t="s">
        <v>1223</v>
      </c>
      <c r="P184" s="132">
        <f>25*19</f>
        <v>475</v>
      </c>
      <c r="Q184" s="20">
        <v>5</v>
      </c>
      <c r="R184" s="16" t="s">
        <v>1224</v>
      </c>
      <c r="S184" s="16">
        <v>1</v>
      </c>
      <c r="T184" s="18">
        <f>AVERAGE(1,1,3,1,2)</f>
        <v>1.6</v>
      </c>
      <c r="U184" s="16">
        <v>1</v>
      </c>
      <c r="V184" s="16">
        <f>AVERAGE(6,5,7,7,6)</f>
        <v>6.2</v>
      </c>
      <c r="W184" s="16">
        <v>0</v>
      </c>
      <c r="X184" s="16" t="s">
        <v>64</v>
      </c>
      <c r="Y184" s="16">
        <v>3</v>
      </c>
      <c r="Z184" s="16" t="s">
        <v>795</v>
      </c>
      <c r="AA184" s="16" t="s">
        <v>61</v>
      </c>
      <c r="AB184" s="20" t="s">
        <v>61</v>
      </c>
      <c r="AC184" s="20">
        <v>0</v>
      </c>
      <c r="AD184" s="20" t="s">
        <v>64</v>
      </c>
      <c r="AE184" s="16" t="s">
        <v>64</v>
      </c>
      <c r="AF184" s="20" t="s">
        <v>64</v>
      </c>
      <c r="AG184" s="20" t="s">
        <v>64</v>
      </c>
      <c r="AH184" s="20" t="s">
        <v>61</v>
      </c>
      <c r="AI184" s="16">
        <v>1</v>
      </c>
      <c r="AJ184" s="16" t="s">
        <v>64</v>
      </c>
      <c r="AK184">
        <v>50</v>
      </c>
      <c r="AL184">
        <f>2/20*100</f>
        <v>10</v>
      </c>
      <c r="AM184">
        <f>0.25/2.31*100</f>
        <v>10.822510822510822</v>
      </c>
      <c r="AN184" s="16">
        <v>0</v>
      </c>
      <c r="AO184">
        <v>8</v>
      </c>
      <c r="AP184" s="16">
        <v>0</v>
      </c>
      <c r="AQ184" s="127">
        <v>0</v>
      </c>
      <c r="AR184" s="127" t="s">
        <v>64</v>
      </c>
      <c r="AS184" s="127" t="s">
        <v>64</v>
      </c>
    </row>
    <row r="185" spans="1:45">
      <c r="A185" t="s">
        <v>761</v>
      </c>
      <c r="B185" t="s">
        <v>144</v>
      </c>
      <c r="C185" t="s">
        <v>260</v>
      </c>
      <c r="D185" s="22" t="s">
        <v>540</v>
      </c>
      <c r="E185" s="22" t="s">
        <v>1052</v>
      </c>
      <c r="F185" s="22" t="s">
        <v>952</v>
      </c>
      <c r="G185" s="22" t="s">
        <v>64</v>
      </c>
      <c r="H185">
        <v>25</v>
      </c>
      <c r="I185">
        <v>24</v>
      </c>
      <c r="J185" s="15">
        <v>43049</v>
      </c>
      <c r="K185">
        <v>-1.6527780000000001</v>
      </c>
      <c r="L185">
        <v>29.638176000000001</v>
      </c>
      <c r="M185">
        <v>1465</v>
      </c>
      <c r="N185" t="s">
        <v>64</v>
      </c>
      <c r="O185" s="18" t="s">
        <v>1225</v>
      </c>
      <c r="P185" s="132">
        <f>13*12</f>
        <v>156</v>
      </c>
      <c r="Q185" s="20">
        <v>5</v>
      </c>
      <c r="R185" s="16" t="s">
        <v>1226</v>
      </c>
      <c r="S185" s="16">
        <v>1</v>
      </c>
      <c r="T185" s="18">
        <f>AVERAGE(1,2,3,1,3)</f>
        <v>2</v>
      </c>
      <c r="U185" s="16">
        <v>1</v>
      </c>
      <c r="V185" s="16">
        <f>AVERAGE(5,6,8,6,6)</f>
        <v>6.2</v>
      </c>
      <c r="W185" s="16">
        <v>0</v>
      </c>
      <c r="X185" s="16" t="s">
        <v>64</v>
      </c>
      <c r="Y185" s="16">
        <v>0</v>
      </c>
      <c r="Z185" s="16" t="s">
        <v>61</v>
      </c>
      <c r="AA185" s="16" t="s">
        <v>61</v>
      </c>
      <c r="AB185" s="20" t="s">
        <v>61</v>
      </c>
      <c r="AC185" s="20">
        <v>0</v>
      </c>
      <c r="AD185" s="20" t="s">
        <v>64</v>
      </c>
      <c r="AE185" s="16" t="s">
        <v>64</v>
      </c>
      <c r="AF185" s="20" t="s">
        <v>64</v>
      </c>
      <c r="AG185" s="20" t="s">
        <v>64</v>
      </c>
      <c r="AH185" s="20" t="s">
        <v>61</v>
      </c>
      <c r="AI185" s="16">
        <v>0</v>
      </c>
      <c r="AJ185" s="16" t="s">
        <v>64</v>
      </c>
      <c r="AK185" s="16" t="s">
        <v>64</v>
      </c>
      <c r="AL185" s="16" t="s">
        <v>64</v>
      </c>
      <c r="AM185" s="16" t="s">
        <v>64</v>
      </c>
      <c r="AN185" s="16" t="s">
        <v>64</v>
      </c>
      <c r="AO185" s="16" t="s">
        <v>64</v>
      </c>
      <c r="AP185" s="16">
        <v>0</v>
      </c>
      <c r="AQ185" s="127">
        <v>0</v>
      </c>
      <c r="AR185" s="127" t="s">
        <v>64</v>
      </c>
      <c r="AS185" s="127" t="s">
        <v>64</v>
      </c>
    </row>
    <row r="186" spans="1:45">
      <c r="A186" t="s">
        <v>761</v>
      </c>
      <c r="B186" t="s">
        <v>144</v>
      </c>
      <c r="C186" t="s">
        <v>260</v>
      </c>
      <c r="D186" s="22" t="s">
        <v>380</v>
      </c>
      <c r="E186" s="22" t="s">
        <v>1227</v>
      </c>
      <c r="F186" s="22" t="s">
        <v>534</v>
      </c>
      <c r="G186" s="22" t="s">
        <v>64</v>
      </c>
      <c r="H186">
        <v>26</v>
      </c>
      <c r="I186">
        <v>25</v>
      </c>
      <c r="J186" s="15">
        <v>43049</v>
      </c>
      <c r="K186">
        <v>-1.696537</v>
      </c>
      <c r="L186">
        <v>29.571418999999999</v>
      </c>
      <c r="M186">
        <v>1966</v>
      </c>
      <c r="N186" t="s">
        <v>64</v>
      </c>
      <c r="O186" s="18" t="s">
        <v>1228</v>
      </c>
      <c r="P186" s="132">
        <f>15*10</f>
        <v>150</v>
      </c>
      <c r="Q186" s="20">
        <v>6</v>
      </c>
      <c r="R186" s="16" t="s">
        <v>1229</v>
      </c>
      <c r="S186" s="16">
        <v>1</v>
      </c>
      <c r="T186" s="18">
        <f>AVERAGE(3,1,1,1,1)</f>
        <v>1.4</v>
      </c>
      <c r="U186" s="16">
        <v>1</v>
      </c>
      <c r="V186" s="16">
        <f>AVERAGE(6,4,7,7,6)</f>
        <v>6</v>
      </c>
      <c r="W186" s="16">
        <v>0</v>
      </c>
      <c r="X186" s="16" t="s">
        <v>64</v>
      </c>
      <c r="Y186" s="16">
        <v>3</v>
      </c>
      <c r="Z186" s="16" t="s">
        <v>61</v>
      </c>
      <c r="AA186" s="16" t="s">
        <v>61</v>
      </c>
      <c r="AB186" s="20" t="s">
        <v>61</v>
      </c>
      <c r="AC186" s="20">
        <v>0</v>
      </c>
      <c r="AD186" s="20" t="s">
        <v>64</v>
      </c>
      <c r="AE186" s="16" t="s">
        <v>64</v>
      </c>
      <c r="AF186" s="20" t="s">
        <v>64</v>
      </c>
      <c r="AG186" s="20" t="s">
        <v>64</v>
      </c>
      <c r="AH186" s="20" t="s">
        <v>61</v>
      </c>
      <c r="AI186" s="16">
        <v>1</v>
      </c>
      <c r="AJ186" s="16" t="s">
        <v>64</v>
      </c>
      <c r="AK186">
        <v>35</v>
      </c>
      <c r="AL186">
        <v>0</v>
      </c>
      <c r="AM186" s="137">
        <v>0</v>
      </c>
      <c r="AN186">
        <v>0</v>
      </c>
      <c r="AO186" s="16">
        <v>0</v>
      </c>
      <c r="AP186" s="16">
        <v>1</v>
      </c>
      <c r="AQ186" s="127">
        <v>0</v>
      </c>
      <c r="AR186" s="127" t="s">
        <v>64</v>
      </c>
      <c r="AS186" s="127" t="s">
        <v>64</v>
      </c>
    </row>
    <row r="187" spans="1:45">
      <c r="A187" t="s">
        <v>761</v>
      </c>
      <c r="B187" t="s">
        <v>144</v>
      </c>
      <c r="C187" t="s">
        <v>260</v>
      </c>
      <c r="D187" s="22" t="s">
        <v>540</v>
      </c>
      <c r="E187" s="22" t="s">
        <v>1047</v>
      </c>
      <c r="F187" s="22" t="s">
        <v>961</v>
      </c>
      <c r="G187" s="22" t="s">
        <v>64</v>
      </c>
      <c r="H187">
        <v>27</v>
      </c>
      <c r="I187">
        <v>26</v>
      </c>
      <c r="J187" s="15">
        <v>43053</v>
      </c>
      <c r="K187">
        <v>-1.5586789999999999</v>
      </c>
      <c r="L187">
        <v>29.684621</v>
      </c>
      <c r="M187">
        <v>1677</v>
      </c>
      <c r="N187">
        <v>783329733</v>
      </c>
      <c r="O187" s="18" t="s">
        <v>1230</v>
      </c>
      <c r="P187" s="132">
        <f>43*5</f>
        <v>215</v>
      </c>
      <c r="Q187" s="20">
        <v>5</v>
      </c>
      <c r="R187" s="16" t="s">
        <v>1231</v>
      </c>
      <c r="S187" s="16">
        <v>1</v>
      </c>
      <c r="T187" s="18">
        <f>AVERAGE(1,2,1,1,2)</f>
        <v>1.4</v>
      </c>
      <c r="U187" s="16">
        <v>1</v>
      </c>
      <c r="V187" s="16">
        <f>AVERAGE(8,6,6,7,7)</f>
        <v>6.8</v>
      </c>
      <c r="W187" s="16">
        <v>0</v>
      </c>
      <c r="X187" s="16" t="s">
        <v>64</v>
      </c>
      <c r="Y187" s="16">
        <v>0</v>
      </c>
      <c r="Z187" s="16" t="s">
        <v>782</v>
      </c>
      <c r="AA187" s="16" t="s">
        <v>61</v>
      </c>
      <c r="AB187" s="20" t="s">
        <v>61</v>
      </c>
      <c r="AC187" s="20">
        <v>0</v>
      </c>
      <c r="AD187" s="20" t="s">
        <v>64</v>
      </c>
      <c r="AE187" s="16" t="s">
        <v>64</v>
      </c>
      <c r="AF187" s="20" t="s">
        <v>64</v>
      </c>
      <c r="AG187" s="20" t="s">
        <v>64</v>
      </c>
      <c r="AH187" s="26" t="s">
        <v>76</v>
      </c>
      <c r="AI187" s="16">
        <v>1</v>
      </c>
      <c r="AJ187">
        <f>3/5*100</f>
        <v>60</v>
      </c>
      <c r="AK187">
        <f>AVERAGE(40,50,20,0,0)</f>
        <v>22</v>
      </c>
      <c r="AL187" s="58">
        <f>2/44*100</f>
        <v>4.5454545454545459</v>
      </c>
      <c r="AM187" s="58">
        <f>0.1/1.25*100</f>
        <v>8</v>
      </c>
      <c r="AN187">
        <v>0</v>
      </c>
      <c r="AO187" s="16">
        <v>0</v>
      </c>
      <c r="AP187" s="16">
        <v>0</v>
      </c>
      <c r="AQ187" s="127">
        <v>0</v>
      </c>
      <c r="AR187" s="127" t="s">
        <v>64</v>
      </c>
      <c r="AS187" s="127" t="s">
        <v>64</v>
      </c>
    </row>
    <row r="188" spans="1:45">
      <c r="A188" t="s">
        <v>761</v>
      </c>
      <c r="B188" t="s">
        <v>144</v>
      </c>
      <c r="C188" t="s">
        <v>260</v>
      </c>
      <c r="D188" s="22" t="s">
        <v>261</v>
      </c>
      <c r="E188" s="22" t="s">
        <v>1232</v>
      </c>
      <c r="F188" s="22" t="s">
        <v>1233</v>
      </c>
      <c r="G188" s="22" t="s">
        <v>64</v>
      </c>
      <c r="H188">
        <v>28</v>
      </c>
      <c r="I188">
        <v>27</v>
      </c>
      <c r="J188" s="15">
        <v>43053</v>
      </c>
      <c r="K188">
        <v>-1.5705370000000001</v>
      </c>
      <c r="L188">
        <v>29.716992999999999</v>
      </c>
      <c r="M188">
        <v>1726</v>
      </c>
      <c r="N188" t="s">
        <v>64</v>
      </c>
      <c r="O188" s="18" t="s">
        <v>1234</v>
      </c>
      <c r="P188" s="132">
        <f>10*40</f>
        <v>400</v>
      </c>
      <c r="Q188" s="20">
        <v>6</v>
      </c>
      <c r="R188" s="16" t="s">
        <v>1046</v>
      </c>
      <c r="S188" s="16">
        <v>1</v>
      </c>
      <c r="T188" s="18">
        <f>AVERAGE(1,1,1,2,1)</f>
        <v>1.2</v>
      </c>
      <c r="U188" s="16">
        <v>1</v>
      </c>
      <c r="V188" s="16">
        <f>AVERAGE(6,5,7,8,6)</f>
        <v>6.4</v>
      </c>
      <c r="W188" s="16">
        <v>0</v>
      </c>
      <c r="X188" s="16" t="s">
        <v>64</v>
      </c>
      <c r="Y188" s="16">
        <v>1</v>
      </c>
      <c r="Z188" s="16" t="s">
        <v>61</v>
      </c>
      <c r="AA188" s="16" t="s">
        <v>61</v>
      </c>
      <c r="AB188" s="20" t="s">
        <v>61</v>
      </c>
      <c r="AC188" s="20">
        <v>0</v>
      </c>
      <c r="AD188" s="20" t="s">
        <v>64</v>
      </c>
      <c r="AE188" s="16" t="s">
        <v>64</v>
      </c>
      <c r="AF188" s="20" t="s">
        <v>64</v>
      </c>
      <c r="AG188" s="20" t="s">
        <v>64</v>
      </c>
      <c r="AH188" s="26" t="s">
        <v>76</v>
      </c>
      <c r="AI188" s="16">
        <v>1</v>
      </c>
      <c r="AJ188" s="16" t="s">
        <v>64</v>
      </c>
      <c r="AK188">
        <v>35</v>
      </c>
      <c r="AL188">
        <v>0</v>
      </c>
      <c r="AM188" s="137">
        <v>0</v>
      </c>
      <c r="AN188">
        <v>0</v>
      </c>
      <c r="AO188" s="16">
        <v>0</v>
      </c>
      <c r="AP188" s="16">
        <v>1</v>
      </c>
      <c r="AQ188" s="127">
        <v>0</v>
      </c>
      <c r="AR188" s="127" t="s">
        <v>64</v>
      </c>
      <c r="AS188" s="127" t="s">
        <v>64</v>
      </c>
    </row>
    <row r="189" spans="1:45">
      <c r="A189" t="s">
        <v>761</v>
      </c>
      <c r="B189" t="s">
        <v>144</v>
      </c>
      <c r="C189" t="s">
        <v>260</v>
      </c>
      <c r="D189" s="22" t="s">
        <v>540</v>
      </c>
      <c r="E189" s="22" t="s">
        <v>1077</v>
      </c>
      <c r="F189" s="22" t="s">
        <v>444</v>
      </c>
      <c r="G189" s="22" t="s">
        <v>64</v>
      </c>
      <c r="H189">
        <v>29</v>
      </c>
      <c r="I189">
        <v>28</v>
      </c>
      <c r="J189" s="15">
        <v>43053</v>
      </c>
      <c r="K189">
        <v>-1.5863769999999999</v>
      </c>
      <c r="L189">
        <v>29.736733000000001</v>
      </c>
      <c r="M189" s="128">
        <v>1745</v>
      </c>
      <c r="N189">
        <v>727942827</v>
      </c>
      <c r="O189" s="18" t="s">
        <v>1235</v>
      </c>
      <c r="P189" s="132">
        <f>20*18</f>
        <v>360</v>
      </c>
      <c r="Q189" s="20">
        <v>5</v>
      </c>
      <c r="R189" s="16" t="s">
        <v>1236</v>
      </c>
      <c r="S189" s="16">
        <v>1</v>
      </c>
      <c r="T189" s="18">
        <f>AVERAGE(1,1,1,2,1)</f>
        <v>1.2</v>
      </c>
      <c r="U189" s="16">
        <v>1</v>
      </c>
      <c r="V189" s="16">
        <f>AVERAGE(7,6,5,6,6)</f>
        <v>6</v>
      </c>
      <c r="W189" s="16">
        <v>0</v>
      </c>
      <c r="X189" s="16" t="s">
        <v>64</v>
      </c>
      <c r="Y189" s="16">
        <v>3</v>
      </c>
      <c r="Z189" s="16" t="s">
        <v>61</v>
      </c>
      <c r="AA189" s="16" t="s">
        <v>61</v>
      </c>
      <c r="AB189" s="20" t="s">
        <v>61</v>
      </c>
      <c r="AC189" s="20">
        <v>0</v>
      </c>
      <c r="AD189" s="20" t="s">
        <v>64</v>
      </c>
      <c r="AE189" s="16" t="s">
        <v>64</v>
      </c>
      <c r="AF189" s="20" t="s">
        <v>64</v>
      </c>
      <c r="AG189" s="20" t="s">
        <v>64</v>
      </c>
      <c r="AH189" s="26" t="s">
        <v>76</v>
      </c>
      <c r="AI189" s="16">
        <v>1</v>
      </c>
      <c r="AJ189" s="16" t="s">
        <v>64</v>
      </c>
      <c r="AK189">
        <v>20</v>
      </c>
      <c r="AL189">
        <v>0</v>
      </c>
      <c r="AM189" s="137">
        <v>0</v>
      </c>
      <c r="AN189">
        <v>0</v>
      </c>
      <c r="AO189" s="16">
        <v>0</v>
      </c>
      <c r="AP189" s="16">
        <v>1</v>
      </c>
      <c r="AQ189" s="127">
        <v>0</v>
      </c>
      <c r="AR189" s="127" t="s">
        <v>64</v>
      </c>
      <c r="AS189" s="127" t="s">
        <v>64</v>
      </c>
    </row>
    <row r="190" spans="1:45">
      <c r="A190" t="s">
        <v>761</v>
      </c>
      <c r="B190" t="s">
        <v>144</v>
      </c>
      <c r="C190" t="s">
        <v>260</v>
      </c>
      <c r="D190" s="22" t="s">
        <v>540</v>
      </c>
      <c r="E190" s="22" t="s">
        <v>1077</v>
      </c>
      <c r="F190" s="22" t="s">
        <v>1078</v>
      </c>
      <c r="G190" s="22" t="s">
        <v>64</v>
      </c>
      <c r="H190">
        <v>30</v>
      </c>
      <c r="I190">
        <v>29</v>
      </c>
      <c r="J190" s="15">
        <v>43053</v>
      </c>
      <c r="K190">
        <v>-1.591251</v>
      </c>
      <c r="L190">
        <v>29.757721</v>
      </c>
      <c r="M190">
        <v>1947</v>
      </c>
      <c r="N190">
        <v>723113445</v>
      </c>
      <c r="O190" s="18" t="s">
        <v>1237</v>
      </c>
      <c r="P190" s="132">
        <f>32*20</f>
        <v>640</v>
      </c>
      <c r="Q190" s="20">
        <v>5</v>
      </c>
      <c r="R190" s="16" t="s">
        <v>1238</v>
      </c>
      <c r="S190" s="16">
        <v>1</v>
      </c>
      <c r="T190" s="18">
        <f>AVERAGE(1,1,2,1,2)</f>
        <v>1.4</v>
      </c>
      <c r="U190" s="16">
        <v>1</v>
      </c>
      <c r="V190" s="16">
        <f>AVERAGE(7,6,7,8,8)</f>
        <v>7.2</v>
      </c>
      <c r="W190" s="16">
        <v>0</v>
      </c>
      <c r="X190" s="16" t="s">
        <v>64</v>
      </c>
      <c r="Y190" s="16">
        <v>0</v>
      </c>
      <c r="Z190" s="16" t="s">
        <v>61</v>
      </c>
      <c r="AA190" s="16" t="s">
        <v>61</v>
      </c>
      <c r="AB190" s="20" t="s">
        <v>61</v>
      </c>
      <c r="AC190" s="20">
        <v>0</v>
      </c>
      <c r="AD190" s="20" t="s">
        <v>64</v>
      </c>
      <c r="AE190" s="16" t="s">
        <v>64</v>
      </c>
      <c r="AF190" s="20" t="s">
        <v>64</v>
      </c>
      <c r="AG190" s="20" t="s">
        <v>64</v>
      </c>
      <c r="AH190" s="26" t="s">
        <v>76</v>
      </c>
      <c r="AI190" s="16">
        <v>0</v>
      </c>
      <c r="AJ190" s="16" t="s">
        <v>64</v>
      </c>
      <c r="AK190" s="16" t="s">
        <v>64</v>
      </c>
      <c r="AL190" s="16" t="s">
        <v>64</v>
      </c>
      <c r="AM190" s="16" t="s">
        <v>64</v>
      </c>
      <c r="AN190" s="16" t="s">
        <v>64</v>
      </c>
      <c r="AO190" s="16" t="s">
        <v>64</v>
      </c>
      <c r="AP190" s="16">
        <v>1</v>
      </c>
      <c r="AQ190" s="127">
        <v>0</v>
      </c>
      <c r="AR190" s="127" t="s">
        <v>64</v>
      </c>
      <c r="AS190" s="127" t="s">
        <v>64</v>
      </c>
    </row>
    <row r="191" spans="1:45">
      <c r="A191" t="s">
        <v>761</v>
      </c>
      <c r="B191" t="s">
        <v>144</v>
      </c>
      <c r="C191" t="s">
        <v>260</v>
      </c>
      <c r="D191" s="22" t="s">
        <v>261</v>
      </c>
      <c r="E191" s="22" t="s">
        <v>277</v>
      </c>
      <c r="F191" s="22" t="s">
        <v>278</v>
      </c>
      <c r="G191" s="22" t="s">
        <v>64</v>
      </c>
      <c r="H191">
        <v>31</v>
      </c>
      <c r="I191">
        <v>30</v>
      </c>
      <c r="J191" s="15">
        <v>43053</v>
      </c>
      <c r="K191">
        <v>-1.5726629999999999</v>
      </c>
      <c r="L191">
        <v>29.745445</v>
      </c>
      <c r="M191">
        <v>2023</v>
      </c>
      <c r="N191">
        <v>788604923</v>
      </c>
      <c r="O191" s="18" t="s">
        <v>1239</v>
      </c>
      <c r="P191" s="132">
        <f>17*13</f>
        <v>221</v>
      </c>
      <c r="Q191" s="20">
        <v>6</v>
      </c>
      <c r="R191" s="16" t="s">
        <v>1240</v>
      </c>
      <c r="S191" s="16">
        <v>1</v>
      </c>
      <c r="T191" s="18">
        <f>AVERAGE(1,1,1,2,2)</f>
        <v>1.4</v>
      </c>
      <c r="U191" s="16">
        <v>1</v>
      </c>
      <c r="V191" s="16">
        <f>AVERAGE(6,7,6,7,7)</f>
        <v>6.6</v>
      </c>
      <c r="W191" s="16">
        <v>0</v>
      </c>
      <c r="X191" s="16" t="s">
        <v>64</v>
      </c>
      <c r="Y191" s="16">
        <v>0</v>
      </c>
      <c r="Z191" s="16" t="s">
        <v>61</v>
      </c>
      <c r="AA191" s="16" t="s">
        <v>61</v>
      </c>
      <c r="AB191" s="20" t="s">
        <v>61</v>
      </c>
      <c r="AC191" s="20">
        <v>0</v>
      </c>
      <c r="AD191" s="20" t="s">
        <v>64</v>
      </c>
      <c r="AE191" s="16" t="s">
        <v>64</v>
      </c>
      <c r="AF191" s="20" t="s">
        <v>64</v>
      </c>
      <c r="AG191" s="20" t="s">
        <v>64</v>
      </c>
      <c r="AH191" s="26" t="s">
        <v>76</v>
      </c>
      <c r="AI191" s="16">
        <v>1</v>
      </c>
      <c r="AJ191" s="16" t="s">
        <v>64</v>
      </c>
      <c r="AK191">
        <v>40</v>
      </c>
      <c r="AL191">
        <v>0</v>
      </c>
      <c r="AM191" s="137">
        <v>0</v>
      </c>
      <c r="AN191">
        <v>0</v>
      </c>
      <c r="AO191" s="16">
        <v>0</v>
      </c>
      <c r="AP191" s="16">
        <v>1</v>
      </c>
      <c r="AQ191" s="127">
        <v>0</v>
      </c>
      <c r="AR191" s="127" t="s">
        <v>64</v>
      </c>
      <c r="AS191" s="127" t="s">
        <v>64</v>
      </c>
    </row>
    <row r="192" spans="1:45">
      <c r="A192" t="s">
        <v>761</v>
      </c>
      <c r="B192" t="s">
        <v>144</v>
      </c>
      <c r="C192" t="s">
        <v>260</v>
      </c>
      <c r="D192" s="22" t="s">
        <v>540</v>
      </c>
      <c r="E192" s="22" t="s">
        <v>540</v>
      </c>
      <c r="F192" s="22" t="s">
        <v>1137</v>
      </c>
      <c r="G192" s="22" t="s">
        <v>64</v>
      </c>
      <c r="H192">
        <v>32</v>
      </c>
      <c r="I192">
        <v>31</v>
      </c>
      <c r="J192" s="15">
        <v>43053</v>
      </c>
      <c r="K192">
        <v>-1.6445810000000001</v>
      </c>
      <c r="L192">
        <v>29.779367000000001</v>
      </c>
      <c r="M192">
        <v>1756</v>
      </c>
      <c r="N192">
        <v>788832615</v>
      </c>
      <c r="O192" s="18" t="s">
        <v>1241</v>
      </c>
      <c r="P192" s="132">
        <f>70*25</f>
        <v>1750</v>
      </c>
      <c r="Q192" s="20">
        <v>5</v>
      </c>
      <c r="R192" s="16" t="s">
        <v>1242</v>
      </c>
      <c r="S192" s="16">
        <v>1</v>
      </c>
      <c r="T192" s="18">
        <f>AVERAGE(1,1,1,2,1)</f>
        <v>1.2</v>
      </c>
      <c r="U192" s="16">
        <v>1</v>
      </c>
      <c r="V192" s="16">
        <f>AVERAGE(4,5,6,6,7)</f>
        <v>5.6</v>
      </c>
      <c r="W192" s="16">
        <v>0</v>
      </c>
      <c r="X192" s="16" t="s">
        <v>64</v>
      </c>
      <c r="Y192" s="16">
        <v>3</v>
      </c>
      <c r="Z192" s="16" t="s">
        <v>61</v>
      </c>
      <c r="AA192" s="16" t="s">
        <v>61</v>
      </c>
      <c r="AB192" s="20" t="s">
        <v>61</v>
      </c>
      <c r="AC192" s="20">
        <v>0</v>
      </c>
      <c r="AD192" s="20" t="s">
        <v>64</v>
      </c>
      <c r="AE192" s="16" t="s">
        <v>64</v>
      </c>
      <c r="AF192" s="20" t="s">
        <v>64</v>
      </c>
      <c r="AG192" s="20" t="s">
        <v>64</v>
      </c>
      <c r="AH192" s="20" t="s">
        <v>61</v>
      </c>
      <c r="AI192" s="16">
        <v>0</v>
      </c>
      <c r="AJ192" s="16" t="s">
        <v>64</v>
      </c>
      <c r="AK192" s="16" t="s">
        <v>64</v>
      </c>
      <c r="AL192" s="16" t="s">
        <v>64</v>
      </c>
      <c r="AM192" s="16" t="s">
        <v>64</v>
      </c>
      <c r="AN192" s="16" t="s">
        <v>64</v>
      </c>
      <c r="AO192" s="16" t="s">
        <v>64</v>
      </c>
      <c r="AP192" s="16">
        <v>0</v>
      </c>
      <c r="AQ192" s="127">
        <v>0</v>
      </c>
      <c r="AR192" s="127" t="s">
        <v>64</v>
      </c>
      <c r="AS192" s="127" t="s">
        <v>64</v>
      </c>
    </row>
    <row r="193" spans="1:45">
      <c r="A193" t="s">
        <v>761</v>
      </c>
      <c r="B193" t="s">
        <v>144</v>
      </c>
      <c r="C193" t="s">
        <v>260</v>
      </c>
      <c r="D193" s="22" t="s">
        <v>540</v>
      </c>
      <c r="E193" s="22" t="s">
        <v>540</v>
      </c>
      <c r="F193" s="22" t="s">
        <v>1140</v>
      </c>
      <c r="G193" s="22" t="s">
        <v>64</v>
      </c>
      <c r="H193">
        <v>33</v>
      </c>
      <c r="I193">
        <v>32</v>
      </c>
      <c r="J193" s="15">
        <v>43053</v>
      </c>
      <c r="K193">
        <v>-1.67198</v>
      </c>
      <c r="L193">
        <v>29.764811999999999</v>
      </c>
      <c r="M193">
        <v>1890</v>
      </c>
      <c r="N193" t="s">
        <v>64</v>
      </c>
      <c r="O193" s="18" t="s">
        <v>1243</v>
      </c>
      <c r="P193" s="132">
        <f>20*15</f>
        <v>300</v>
      </c>
      <c r="Q193" s="20">
        <v>6</v>
      </c>
      <c r="R193" s="16" t="s">
        <v>1244</v>
      </c>
      <c r="S193" s="16">
        <v>1</v>
      </c>
      <c r="T193" s="18">
        <f>AVERAGE(1,1,2,1,1)</f>
        <v>1.2</v>
      </c>
      <c r="U193" s="16">
        <v>1</v>
      </c>
      <c r="V193" s="16">
        <f>AVERAGE(7,6,6,6,5)</f>
        <v>6</v>
      </c>
      <c r="W193" s="16">
        <v>0</v>
      </c>
      <c r="X193" s="16" t="s">
        <v>64</v>
      </c>
      <c r="Y193" s="16">
        <v>0</v>
      </c>
      <c r="Z193" s="16" t="s">
        <v>795</v>
      </c>
      <c r="AA193" s="16" t="s">
        <v>61</v>
      </c>
      <c r="AB193" s="20" t="s">
        <v>61</v>
      </c>
      <c r="AC193" s="20">
        <v>0</v>
      </c>
      <c r="AD193" s="20" t="s">
        <v>64</v>
      </c>
      <c r="AE193" s="16" t="s">
        <v>64</v>
      </c>
      <c r="AF193" s="20" t="s">
        <v>64</v>
      </c>
      <c r="AG193" s="20" t="s">
        <v>64</v>
      </c>
      <c r="AH193" s="20" t="s">
        <v>61</v>
      </c>
      <c r="AI193" s="16">
        <v>0</v>
      </c>
      <c r="AJ193" s="16" t="s">
        <v>64</v>
      </c>
      <c r="AK193" s="16" t="s">
        <v>64</v>
      </c>
      <c r="AL193" s="16" t="s">
        <v>64</v>
      </c>
      <c r="AM193" s="16" t="s">
        <v>64</v>
      </c>
      <c r="AN193" s="16" t="s">
        <v>64</v>
      </c>
      <c r="AO193" s="16" t="s">
        <v>64</v>
      </c>
      <c r="AP193" s="16">
        <v>0</v>
      </c>
      <c r="AQ193" s="127">
        <v>0</v>
      </c>
      <c r="AR193" s="127" t="s">
        <v>64</v>
      </c>
      <c r="AS193" s="127" t="s">
        <v>64</v>
      </c>
    </row>
    <row r="194" spans="1:45">
      <c r="A194" t="s">
        <v>761</v>
      </c>
      <c r="B194" t="s">
        <v>144</v>
      </c>
      <c r="C194" t="s">
        <v>260</v>
      </c>
      <c r="D194" s="22" t="s">
        <v>540</v>
      </c>
      <c r="E194" s="22" t="s">
        <v>1245</v>
      </c>
      <c r="F194" s="22" t="s">
        <v>534</v>
      </c>
      <c r="G194" s="22" t="s">
        <v>64</v>
      </c>
      <c r="H194">
        <v>34</v>
      </c>
      <c r="I194">
        <v>33</v>
      </c>
      <c r="J194" s="15">
        <v>43053</v>
      </c>
      <c r="K194">
        <v>-1.686458</v>
      </c>
      <c r="L194">
        <v>29.722337</v>
      </c>
      <c r="M194">
        <v>2190</v>
      </c>
      <c r="N194">
        <v>784210361</v>
      </c>
      <c r="O194" s="18" t="s">
        <v>1246</v>
      </c>
      <c r="P194" s="132">
        <f>40*12</f>
        <v>480</v>
      </c>
      <c r="Q194" s="20">
        <v>8</v>
      </c>
      <c r="R194" s="16" t="s">
        <v>1202</v>
      </c>
      <c r="S194" s="16">
        <v>1</v>
      </c>
      <c r="T194" s="18">
        <f>AVERAGE(1,1,2,1,2)</f>
        <v>1.4</v>
      </c>
      <c r="U194" s="16">
        <v>1</v>
      </c>
      <c r="V194" s="18">
        <f>AVERAGE(7,7,8,7,7)</f>
        <v>7.2</v>
      </c>
      <c r="W194" s="16">
        <v>0</v>
      </c>
      <c r="X194" s="16" t="s">
        <v>64</v>
      </c>
      <c r="Y194" s="16">
        <v>2</v>
      </c>
      <c r="Z194" s="16" t="s">
        <v>1247</v>
      </c>
      <c r="AA194" s="16" t="s">
        <v>61</v>
      </c>
      <c r="AB194" s="20" t="s">
        <v>61</v>
      </c>
      <c r="AC194" s="20">
        <v>0</v>
      </c>
      <c r="AD194" s="20" t="s">
        <v>64</v>
      </c>
      <c r="AE194" s="16" t="s">
        <v>64</v>
      </c>
      <c r="AF194" s="20" t="s">
        <v>64</v>
      </c>
      <c r="AG194" s="20" t="s">
        <v>64</v>
      </c>
      <c r="AH194" s="20" t="s">
        <v>61</v>
      </c>
      <c r="AI194" s="16">
        <v>1</v>
      </c>
      <c r="AJ194" s="16" t="s">
        <v>64</v>
      </c>
      <c r="AK194">
        <v>35</v>
      </c>
      <c r="AL194">
        <f>5/32*100</f>
        <v>15.625</v>
      </c>
      <c r="AM194">
        <f>0.3/1.23*100</f>
        <v>24.390243902439025</v>
      </c>
      <c r="AN194">
        <v>0</v>
      </c>
      <c r="AO194" s="16">
        <v>0</v>
      </c>
      <c r="AP194" s="16">
        <v>1</v>
      </c>
      <c r="AQ194" s="127">
        <v>0</v>
      </c>
      <c r="AR194" s="127" t="s">
        <v>64</v>
      </c>
      <c r="AS194" s="127" t="s">
        <v>64</v>
      </c>
    </row>
    <row r="195" spans="1:45">
      <c r="A195" t="s">
        <v>761</v>
      </c>
      <c r="B195" t="s">
        <v>144</v>
      </c>
      <c r="C195" t="s">
        <v>260</v>
      </c>
      <c r="D195" s="22" t="s">
        <v>540</v>
      </c>
      <c r="E195" s="22" t="s">
        <v>591</v>
      </c>
      <c r="F195" s="22" t="s">
        <v>1055</v>
      </c>
      <c r="G195" s="22" t="s">
        <v>64</v>
      </c>
      <c r="H195">
        <v>35</v>
      </c>
      <c r="I195">
        <v>34</v>
      </c>
      <c r="J195" s="15">
        <v>43053</v>
      </c>
      <c r="K195">
        <v>-1.6837599999999999</v>
      </c>
      <c r="L195">
        <v>29.681957000000001</v>
      </c>
      <c r="M195">
        <v>1788</v>
      </c>
      <c r="N195">
        <v>786901154</v>
      </c>
      <c r="O195" s="18" t="s">
        <v>1248</v>
      </c>
      <c r="P195" s="132">
        <f>20*7</f>
        <v>140</v>
      </c>
      <c r="Q195" s="20">
        <v>6</v>
      </c>
      <c r="R195" s="16" t="s">
        <v>1249</v>
      </c>
      <c r="S195" s="16">
        <v>0</v>
      </c>
      <c r="T195" s="18">
        <v>1</v>
      </c>
      <c r="U195" s="16">
        <v>1</v>
      </c>
      <c r="V195" s="16">
        <f>AVERAGE(5,6,5,7,7)</f>
        <v>6</v>
      </c>
      <c r="W195" s="16">
        <v>0</v>
      </c>
      <c r="X195" s="16" t="s">
        <v>64</v>
      </c>
      <c r="Y195" s="16">
        <v>0</v>
      </c>
      <c r="Z195" s="16" t="s">
        <v>61</v>
      </c>
      <c r="AA195" s="16" t="s">
        <v>61</v>
      </c>
      <c r="AB195" s="20" t="s">
        <v>61</v>
      </c>
      <c r="AC195" s="20">
        <v>0</v>
      </c>
      <c r="AD195" s="20" t="s">
        <v>64</v>
      </c>
      <c r="AE195" s="16" t="s">
        <v>64</v>
      </c>
      <c r="AF195" s="20" t="s">
        <v>64</v>
      </c>
      <c r="AG195" s="20" t="s">
        <v>64</v>
      </c>
      <c r="AH195" s="20" t="s">
        <v>61</v>
      </c>
      <c r="AI195" s="16">
        <v>0</v>
      </c>
      <c r="AJ195" s="16" t="s">
        <v>64</v>
      </c>
      <c r="AK195" s="16" t="s">
        <v>64</v>
      </c>
      <c r="AL195" s="16" t="s">
        <v>64</v>
      </c>
      <c r="AM195" s="16" t="s">
        <v>64</v>
      </c>
      <c r="AN195" s="16" t="s">
        <v>64</v>
      </c>
      <c r="AO195" s="16" t="s">
        <v>64</v>
      </c>
      <c r="AP195" s="16">
        <v>0</v>
      </c>
      <c r="AQ195" s="127">
        <v>0</v>
      </c>
      <c r="AR195" s="127" t="s">
        <v>64</v>
      </c>
      <c r="AS195" s="127" t="s">
        <v>64</v>
      </c>
    </row>
    <row r="196" spans="1:45">
      <c r="A196" t="s">
        <v>761</v>
      </c>
      <c r="B196" t="s">
        <v>144</v>
      </c>
      <c r="C196" t="s">
        <v>260</v>
      </c>
      <c r="D196" s="22" t="s">
        <v>540</v>
      </c>
      <c r="E196" s="22" t="s">
        <v>591</v>
      </c>
      <c r="F196" s="22" t="s">
        <v>1250</v>
      </c>
      <c r="G196" s="22" t="s">
        <v>64</v>
      </c>
      <c r="H196">
        <v>36</v>
      </c>
      <c r="I196">
        <v>35</v>
      </c>
      <c r="J196" s="15">
        <v>43053</v>
      </c>
      <c r="K196">
        <v>-1.674857</v>
      </c>
      <c r="L196">
        <v>29.674246</v>
      </c>
      <c r="M196">
        <v>1637</v>
      </c>
      <c r="N196">
        <v>781939646</v>
      </c>
      <c r="O196" s="18" t="s">
        <v>1251</v>
      </c>
      <c r="P196" s="132">
        <f>40*12</f>
        <v>480</v>
      </c>
      <c r="Q196" s="20">
        <v>5</v>
      </c>
      <c r="R196" s="16" t="s">
        <v>1252</v>
      </c>
      <c r="S196" s="16">
        <v>1</v>
      </c>
      <c r="T196" s="129">
        <f>AVERAGE(1,2,1,1,1)</f>
        <v>1.2</v>
      </c>
      <c r="U196" s="16">
        <v>1</v>
      </c>
      <c r="V196" s="16">
        <f>AVERAGE(7,6,7,7,6)</f>
        <v>6.6</v>
      </c>
      <c r="W196" s="16">
        <v>0</v>
      </c>
      <c r="X196" s="16" t="s">
        <v>64</v>
      </c>
      <c r="Y196" s="16">
        <v>0</v>
      </c>
      <c r="Z196" s="16" t="s">
        <v>61</v>
      </c>
      <c r="AA196" s="16" t="s">
        <v>61</v>
      </c>
      <c r="AB196" s="20" t="s">
        <v>61</v>
      </c>
      <c r="AC196" s="20">
        <v>0</v>
      </c>
      <c r="AD196" s="20" t="s">
        <v>64</v>
      </c>
      <c r="AE196" s="16" t="s">
        <v>64</v>
      </c>
      <c r="AF196" s="20" t="s">
        <v>64</v>
      </c>
      <c r="AG196" s="20" t="s">
        <v>64</v>
      </c>
      <c r="AH196" s="20" t="s">
        <v>61</v>
      </c>
      <c r="AI196" s="16">
        <v>0</v>
      </c>
      <c r="AJ196" s="16" t="s">
        <v>64</v>
      </c>
      <c r="AK196" s="16" t="s">
        <v>64</v>
      </c>
      <c r="AL196" s="16" t="s">
        <v>64</v>
      </c>
      <c r="AM196" s="16" t="s">
        <v>64</v>
      </c>
      <c r="AN196" s="16" t="s">
        <v>64</v>
      </c>
      <c r="AO196" s="16" t="s">
        <v>64</v>
      </c>
      <c r="AP196" s="16">
        <v>0</v>
      </c>
      <c r="AQ196" s="127">
        <v>0</v>
      </c>
      <c r="AR196" s="127" t="s">
        <v>64</v>
      </c>
      <c r="AS196" s="127" t="s">
        <v>64</v>
      </c>
    </row>
    <row r="197" spans="1:45">
      <c r="A197" t="s">
        <v>761</v>
      </c>
      <c r="B197" t="s">
        <v>144</v>
      </c>
      <c r="C197" t="s">
        <v>260</v>
      </c>
      <c r="D197" s="22" t="s">
        <v>387</v>
      </c>
      <c r="E197" s="22" t="s">
        <v>434</v>
      </c>
      <c r="F197" s="22" t="s">
        <v>1127</v>
      </c>
      <c r="G197" s="22" t="s">
        <v>64</v>
      </c>
      <c r="H197">
        <v>37</v>
      </c>
      <c r="I197">
        <v>36</v>
      </c>
      <c r="J197" s="15">
        <v>43054</v>
      </c>
      <c r="K197">
        <v>-1.740286</v>
      </c>
      <c r="L197">
        <v>29.619821000000002</v>
      </c>
      <c r="M197">
        <v>1744</v>
      </c>
      <c r="N197">
        <v>783537181</v>
      </c>
      <c r="O197" s="18" t="s">
        <v>1253</v>
      </c>
      <c r="P197" s="132">
        <f>10*10</f>
        <v>100</v>
      </c>
      <c r="Q197" s="20">
        <v>6</v>
      </c>
      <c r="R197" s="16" t="s">
        <v>1254</v>
      </c>
      <c r="S197" s="16">
        <v>1</v>
      </c>
      <c r="T197" s="18">
        <f>AVERAGE(2,1,2,1,1)</f>
        <v>1.4</v>
      </c>
      <c r="U197" s="16">
        <v>1</v>
      </c>
      <c r="V197" s="16">
        <f>AVERAGE(6,7,8,7,6)</f>
        <v>6.8</v>
      </c>
      <c r="W197" s="16">
        <v>0</v>
      </c>
      <c r="X197" s="16" t="s">
        <v>64</v>
      </c>
      <c r="Y197" s="16">
        <v>1</v>
      </c>
      <c r="Z197" s="16" t="s">
        <v>795</v>
      </c>
      <c r="AA197" s="16" t="s">
        <v>61</v>
      </c>
      <c r="AB197" s="20" t="s">
        <v>61</v>
      </c>
      <c r="AC197" s="20">
        <v>0</v>
      </c>
      <c r="AD197" s="20" t="s">
        <v>64</v>
      </c>
      <c r="AE197" s="16" t="s">
        <v>64</v>
      </c>
      <c r="AF197" s="20" t="s">
        <v>64</v>
      </c>
      <c r="AG197" s="20" t="s">
        <v>64</v>
      </c>
      <c r="AH197" s="26" t="s">
        <v>76</v>
      </c>
      <c r="AI197" s="16">
        <v>1</v>
      </c>
      <c r="AJ197" s="16" t="s">
        <v>64</v>
      </c>
      <c r="AK197">
        <v>70</v>
      </c>
      <c r="AL197">
        <f>4/15*100</f>
        <v>26.666666666666668</v>
      </c>
      <c r="AM197">
        <f>0.17/0.69*100</f>
        <v>24.637681159420293</v>
      </c>
      <c r="AN197">
        <v>0</v>
      </c>
      <c r="AO197">
        <v>4</v>
      </c>
      <c r="AP197" s="16">
        <v>0</v>
      </c>
      <c r="AQ197" s="127">
        <v>0</v>
      </c>
      <c r="AR197" s="127" t="s">
        <v>64</v>
      </c>
      <c r="AS197" s="127" t="s">
        <v>64</v>
      </c>
    </row>
    <row r="198" spans="1:45">
      <c r="A198" t="s">
        <v>761</v>
      </c>
      <c r="B198" t="s">
        <v>144</v>
      </c>
      <c r="C198" t="s">
        <v>260</v>
      </c>
      <c r="D198" s="22" t="s">
        <v>387</v>
      </c>
      <c r="E198" s="22" t="s">
        <v>434</v>
      </c>
      <c r="F198" s="22" t="s">
        <v>1127</v>
      </c>
      <c r="G198" s="22" t="s">
        <v>64</v>
      </c>
      <c r="H198">
        <v>38</v>
      </c>
      <c r="I198">
        <v>37</v>
      </c>
      <c r="J198" s="15">
        <v>43054</v>
      </c>
      <c r="K198">
        <v>-1.7563820000000001</v>
      </c>
      <c r="L198">
        <v>29.617018000000002</v>
      </c>
      <c r="M198">
        <v>1848</v>
      </c>
      <c r="N198">
        <v>782039665</v>
      </c>
      <c r="O198" s="18" t="s">
        <v>1255</v>
      </c>
      <c r="P198" s="132">
        <f>17*15</f>
        <v>255</v>
      </c>
      <c r="Q198" s="20">
        <v>6</v>
      </c>
      <c r="R198" s="16" t="s">
        <v>1254</v>
      </c>
      <c r="S198" s="16">
        <v>1</v>
      </c>
      <c r="T198" s="18">
        <f>AVERAGE(1,1,2,1,1)</f>
        <v>1.2</v>
      </c>
      <c r="U198" s="16">
        <v>1</v>
      </c>
      <c r="V198" s="16">
        <f>AVERAGE(7,6,6,5,7)</f>
        <v>6.2</v>
      </c>
      <c r="W198" s="16">
        <v>0</v>
      </c>
      <c r="X198" s="16" t="s">
        <v>64</v>
      </c>
      <c r="Y198" s="16">
        <v>1</v>
      </c>
      <c r="Z198" s="16" t="s">
        <v>61</v>
      </c>
      <c r="AA198" s="16" t="s">
        <v>61</v>
      </c>
      <c r="AB198" s="20" t="s">
        <v>61</v>
      </c>
      <c r="AC198" s="20">
        <v>0</v>
      </c>
      <c r="AD198" s="20" t="s">
        <v>64</v>
      </c>
      <c r="AE198" s="16" t="s">
        <v>64</v>
      </c>
      <c r="AF198" s="20" t="s">
        <v>64</v>
      </c>
      <c r="AG198" s="20" t="s">
        <v>64</v>
      </c>
      <c r="AH198" s="26" t="s">
        <v>76</v>
      </c>
      <c r="AI198" s="16">
        <v>1</v>
      </c>
      <c r="AJ198" s="16" t="s">
        <v>64</v>
      </c>
      <c r="AK198">
        <v>45</v>
      </c>
      <c r="AL198">
        <f>2/27*100</f>
        <v>7.4074074074074066</v>
      </c>
      <c r="AM198">
        <f>0.15/1.74*100</f>
        <v>8.6206896551724128</v>
      </c>
      <c r="AN198" s="16">
        <v>3</v>
      </c>
      <c r="AO198">
        <v>0</v>
      </c>
      <c r="AP198" s="16">
        <v>0</v>
      </c>
      <c r="AQ198" s="127">
        <v>0</v>
      </c>
      <c r="AR198" s="127" t="s">
        <v>64</v>
      </c>
      <c r="AS198" s="127" t="s">
        <v>64</v>
      </c>
    </row>
    <row r="199" spans="1:45">
      <c r="A199" t="s">
        <v>761</v>
      </c>
      <c r="B199" t="s">
        <v>144</v>
      </c>
      <c r="C199" t="s">
        <v>260</v>
      </c>
      <c r="D199" s="22" t="s">
        <v>387</v>
      </c>
      <c r="E199" s="22" t="s">
        <v>1123</v>
      </c>
      <c r="F199" s="22" t="s">
        <v>1256</v>
      </c>
      <c r="G199" s="22" t="s">
        <v>64</v>
      </c>
      <c r="H199">
        <v>39</v>
      </c>
      <c r="I199">
        <v>38</v>
      </c>
      <c r="J199" s="15">
        <v>43054</v>
      </c>
      <c r="K199">
        <v>-1.7808029999999999</v>
      </c>
      <c r="L199">
        <v>29.595977999999999</v>
      </c>
      <c r="M199">
        <v>2012</v>
      </c>
      <c r="N199">
        <v>786240812</v>
      </c>
      <c r="O199" s="18" t="s">
        <v>1257</v>
      </c>
      <c r="P199" s="132">
        <f>31*8</f>
        <v>248</v>
      </c>
      <c r="Q199" s="20">
        <v>6</v>
      </c>
      <c r="R199" s="16" t="s">
        <v>1258</v>
      </c>
      <c r="S199" s="16">
        <v>1</v>
      </c>
      <c r="T199" s="129">
        <f>AVERAGE(2,1,2,2,3)</f>
        <v>2</v>
      </c>
      <c r="U199" s="16">
        <v>1</v>
      </c>
      <c r="V199" s="16">
        <f>AVERAGE(6,7,8,7,7)</f>
        <v>7</v>
      </c>
      <c r="W199" s="16">
        <v>0</v>
      </c>
      <c r="X199" s="16" t="s">
        <v>64</v>
      </c>
      <c r="Y199" s="16">
        <v>2</v>
      </c>
      <c r="Z199" s="16" t="s">
        <v>61</v>
      </c>
      <c r="AA199" s="16" t="s">
        <v>61</v>
      </c>
      <c r="AB199" s="20" t="s">
        <v>61</v>
      </c>
      <c r="AC199" s="20">
        <v>0</v>
      </c>
      <c r="AD199" s="20" t="s">
        <v>64</v>
      </c>
      <c r="AE199" s="16" t="s">
        <v>64</v>
      </c>
      <c r="AF199" s="20" t="s">
        <v>64</v>
      </c>
      <c r="AG199" s="20" t="s">
        <v>64</v>
      </c>
      <c r="AH199" s="20" t="s">
        <v>61</v>
      </c>
      <c r="AI199" s="16">
        <v>1</v>
      </c>
      <c r="AJ199" s="16">
        <f>4/5*100</f>
        <v>80</v>
      </c>
      <c r="AK199">
        <f>AVERAGE(60,60,40,0,20,80,80,60,30,0)</f>
        <v>43</v>
      </c>
      <c r="AL199">
        <v>0</v>
      </c>
      <c r="AM199" s="137">
        <v>0</v>
      </c>
      <c r="AN199">
        <v>0</v>
      </c>
      <c r="AO199" s="16">
        <v>0</v>
      </c>
      <c r="AP199" s="16">
        <v>0</v>
      </c>
      <c r="AQ199" s="127">
        <v>0</v>
      </c>
      <c r="AR199" s="127" t="s">
        <v>64</v>
      </c>
      <c r="AS199" s="127" t="s">
        <v>64</v>
      </c>
    </row>
    <row r="200" spans="1:45">
      <c r="A200" t="s">
        <v>761</v>
      </c>
      <c r="B200" t="s">
        <v>144</v>
      </c>
      <c r="C200" t="s">
        <v>260</v>
      </c>
      <c r="D200" s="22" t="s">
        <v>387</v>
      </c>
      <c r="E200" s="22" t="s">
        <v>309</v>
      </c>
      <c r="F200" s="22" t="s">
        <v>1120</v>
      </c>
      <c r="G200" s="22" t="s">
        <v>64</v>
      </c>
      <c r="H200">
        <v>40</v>
      </c>
      <c r="I200">
        <v>39</v>
      </c>
      <c r="J200" s="15">
        <v>43054</v>
      </c>
      <c r="K200">
        <v>-1.780686</v>
      </c>
      <c r="L200">
        <v>29.571096000000001</v>
      </c>
      <c r="M200">
        <v>2240</v>
      </c>
      <c r="N200">
        <v>786881289</v>
      </c>
      <c r="O200" s="18" t="s">
        <v>1259</v>
      </c>
      <c r="P200" s="132">
        <f>16*14</f>
        <v>224</v>
      </c>
      <c r="Q200" s="20">
        <v>6</v>
      </c>
      <c r="R200" s="16" t="s">
        <v>1260</v>
      </c>
      <c r="S200" s="16">
        <v>1</v>
      </c>
      <c r="T200" s="18">
        <f>AVERAGE(1,1,1,3,2)</f>
        <v>1.6</v>
      </c>
      <c r="U200" s="16">
        <v>1</v>
      </c>
      <c r="V200" s="16">
        <f>AVERAGE(6,5,5,7,7)</f>
        <v>6</v>
      </c>
      <c r="W200" s="16">
        <v>0</v>
      </c>
      <c r="X200" s="16" t="s">
        <v>64</v>
      </c>
      <c r="Y200" s="16">
        <v>1</v>
      </c>
      <c r="Z200" s="16" t="s">
        <v>61</v>
      </c>
      <c r="AA200" s="16" t="s">
        <v>61</v>
      </c>
      <c r="AB200" s="20" t="s">
        <v>61</v>
      </c>
      <c r="AC200" s="20">
        <v>0</v>
      </c>
      <c r="AD200" s="20" t="s">
        <v>64</v>
      </c>
      <c r="AE200" s="16" t="s">
        <v>64</v>
      </c>
      <c r="AF200" s="20" t="s">
        <v>64</v>
      </c>
      <c r="AG200" s="20" t="s">
        <v>64</v>
      </c>
      <c r="AH200" s="20" t="s">
        <v>61</v>
      </c>
      <c r="AI200" s="16">
        <v>1</v>
      </c>
      <c r="AJ200" s="16" t="s">
        <v>64</v>
      </c>
      <c r="AK200">
        <v>25</v>
      </c>
      <c r="AL200">
        <v>0</v>
      </c>
      <c r="AM200" s="137">
        <v>0</v>
      </c>
      <c r="AN200">
        <v>0</v>
      </c>
      <c r="AO200" s="16">
        <v>0</v>
      </c>
      <c r="AP200" s="16">
        <v>1</v>
      </c>
      <c r="AQ200" s="127">
        <v>0</v>
      </c>
      <c r="AR200" s="127" t="s">
        <v>64</v>
      </c>
      <c r="AS200" s="127" t="s">
        <v>64</v>
      </c>
    </row>
    <row r="201" spans="1:45">
      <c r="A201" t="s">
        <v>761</v>
      </c>
      <c r="B201" t="s">
        <v>144</v>
      </c>
      <c r="C201" t="s">
        <v>260</v>
      </c>
      <c r="D201" s="22" t="s">
        <v>387</v>
      </c>
      <c r="E201" s="22" t="s">
        <v>309</v>
      </c>
      <c r="F201" s="22" t="s">
        <v>309</v>
      </c>
      <c r="G201" s="22" t="s">
        <v>64</v>
      </c>
      <c r="H201">
        <v>41</v>
      </c>
      <c r="I201">
        <v>40</v>
      </c>
      <c r="J201" s="15">
        <v>43054</v>
      </c>
      <c r="K201">
        <v>-1.7504729999999999</v>
      </c>
      <c r="L201">
        <v>29.540979</v>
      </c>
      <c r="M201">
        <v>2310</v>
      </c>
      <c r="N201">
        <v>722671418</v>
      </c>
      <c r="O201" s="18" t="s">
        <v>1261</v>
      </c>
      <c r="P201" s="132">
        <f>30*10</f>
        <v>300</v>
      </c>
      <c r="Q201" s="20">
        <v>8</v>
      </c>
      <c r="R201" s="16" t="s">
        <v>1262</v>
      </c>
      <c r="S201" s="16">
        <v>1</v>
      </c>
      <c r="T201" s="18">
        <f>AVERAGE(1,1,1,1,2)</f>
        <v>1.2</v>
      </c>
      <c r="U201" s="16">
        <v>1</v>
      </c>
      <c r="V201" s="16">
        <f>AVERAGE(6,4,6,4,5)</f>
        <v>5</v>
      </c>
      <c r="W201" s="16">
        <v>0</v>
      </c>
      <c r="X201" s="16" t="s">
        <v>64</v>
      </c>
      <c r="Y201" s="16">
        <v>0</v>
      </c>
      <c r="Z201" s="16" t="s">
        <v>61</v>
      </c>
      <c r="AA201" s="16" t="s">
        <v>61</v>
      </c>
      <c r="AB201" s="20" t="s">
        <v>61</v>
      </c>
      <c r="AC201" s="20">
        <v>0</v>
      </c>
      <c r="AD201" s="20" t="s">
        <v>64</v>
      </c>
      <c r="AE201" s="16" t="s">
        <v>64</v>
      </c>
      <c r="AF201" s="20" t="s">
        <v>64</v>
      </c>
      <c r="AG201" s="20" t="s">
        <v>64</v>
      </c>
      <c r="AH201" s="20" t="s">
        <v>61</v>
      </c>
      <c r="AI201" s="16">
        <v>0</v>
      </c>
      <c r="AJ201" s="16" t="s">
        <v>64</v>
      </c>
      <c r="AK201" s="16" t="s">
        <v>64</v>
      </c>
      <c r="AL201" s="16" t="s">
        <v>64</v>
      </c>
      <c r="AM201" s="16" t="s">
        <v>64</v>
      </c>
      <c r="AN201" s="16" t="s">
        <v>64</v>
      </c>
      <c r="AO201" s="16" t="s">
        <v>64</v>
      </c>
      <c r="AP201" s="16">
        <v>0</v>
      </c>
      <c r="AQ201" s="127">
        <v>0</v>
      </c>
      <c r="AR201" s="127" t="s">
        <v>64</v>
      </c>
      <c r="AS201" s="127" t="s">
        <v>64</v>
      </c>
    </row>
    <row r="202" spans="1:45">
      <c r="A202" t="s">
        <v>761</v>
      </c>
      <c r="B202" t="s">
        <v>144</v>
      </c>
      <c r="C202" t="s">
        <v>260</v>
      </c>
      <c r="D202" s="22" t="s">
        <v>380</v>
      </c>
      <c r="E202" s="22" t="s">
        <v>381</v>
      </c>
      <c r="F202" s="22" t="s">
        <v>382</v>
      </c>
      <c r="G202" s="22" t="s">
        <v>64</v>
      </c>
      <c r="H202">
        <v>42</v>
      </c>
      <c r="I202">
        <v>41</v>
      </c>
      <c r="J202" s="15">
        <v>43054</v>
      </c>
      <c r="K202">
        <v>-1.737269</v>
      </c>
      <c r="L202">
        <v>29.543980999999999</v>
      </c>
      <c r="M202">
        <v>2157</v>
      </c>
      <c r="N202">
        <v>784235849</v>
      </c>
      <c r="O202" s="18" t="s">
        <v>1263</v>
      </c>
      <c r="P202" s="132">
        <f>13*9</f>
        <v>117</v>
      </c>
      <c r="Q202" s="20">
        <v>7</v>
      </c>
      <c r="R202" s="16" t="s">
        <v>1264</v>
      </c>
      <c r="S202" s="16">
        <v>0</v>
      </c>
      <c r="T202" s="18">
        <v>1</v>
      </c>
      <c r="U202" s="16">
        <v>1</v>
      </c>
      <c r="V202" s="16">
        <f>AVERAGE(6,4,6,4,5)</f>
        <v>5</v>
      </c>
      <c r="W202" s="16">
        <v>0</v>
      </c>
      <c r="X202" s="16" t="s">
        <v>64</v>
      </c>
      <c r="Y202" s="16">
        <v>0</v>
      </c>
      <c r="Z202" s="16" t="s">
        <v>61</v>
      </c>
      <c r="AA202" s="16" t="s">
        <v>61</v>
      </c>
      <c r="AB202" s="20" t="s">
        <v>61</v>
      </c>
      <c r="AC202" s="20">
        <v>0</v>
      </c>
      <c r="AD202" s="20" t="s">
        <v>64</v>
      </c>
      <c r="AE202" s="16" t="s">
        <v>64</v>
      </c>
      <c r="AF202" s="20" t="s">
        <v>64</v>
      </c>
      <c r="AG202" s="20" t="s">
        <v>64</v>
      </c>
      <c r="AH202" s="20" t="s">
        <v>61</v>
      </c>
      <c r="AI202" s="16">
        <v>1</v>
      </c>
      <c r="AJ202" s="16" t="s">
        <v>64</v>
      </c>
      <c r="AK202" s="16">
        <f>AVERAGE(20,30)</f>
        <v>25</v>
      </c>
      <c r="AL202">
        <v>0</v>
      </c>
      <c r="AM202" s="137">
        <v>0</v>
      </c>
      <c r="AN202">
        <v>0</v>
      </c>
      <c r="AO202" s="16">
        <v>0</v>
      </c>
      <c r="AP202" s="16">
        <v>0</v>
      </c>
      <c r="AQ202" s="127">
        <v>0</v>
      </c>
      <c r="AR202" s="127" t="s">
        <v>64</v>
      </c>
      <c r="AS202" s="127" t="s">
        <v>64</v>
      </c>
    </row>
    <row r="203" spans="1:45">
      <c r="A203" t="s">
        <v>761</v>
      </c>
      <c r="B203" t="s">
        <v>144</v>
      </c>
      <c r="C203" t="s">
        <v>260</v>
      </c>
      <c r="D203" s="22" t="s">
        <v>380</v>
      </c>
      <c r="E203" s="22" t="s">
        <v>413</v>
      </c>
      <c r="F203" s="22" t="s">
        <v>414</v>
      </c>
      <c r="G203" s="22" t="s">
        <v>64</v>
      </c>
      <c r="H203">
        <v>43</v>
      </c>
      <c r="I203">
        <v>42</v>
      </c>
      <c r="J203" s="15">
        <v>43054</v>
      </c>
      <c r="K203">
        <v>-1.689748</v>
      </c>
      <c r="L203">
        <v>29.554207000000002</v>
      </c>
      <c r="M203">
        <v>2101</v>
      </c>
      <c r="N203" t="s">
        <v>64</v>
      </c>
      <c r="O203" s="18" t="s">
        <v>1265</v>
      </c>
      <c r="P203" s="132">
        <f>30*15</f>
        <v>450</v>
      </c>
      <c r="Q203" s="20">
        <v>6</v>
      </c>
      <c r="R203" s="16" t="s">
        <v>1254</v>
      </c>
      <c r="S203" s="16">
        <v>0</v>
      </c>
      <c r="T203" s="18">
        <v>1</v>
      </c>
      <c r="U203" s="16">
        <v>1</v>
      </c>
      <c r="V203" s="16">
        <f>AVERAGE(4,6,5,5,5)</f>
        <v>5</v>
      </c>
      <c r="W203" s="16">
        <v>0</v>
      </c>
      <c r="X203" s="16" t="s">
        <v>64</v>
      </c>
      <c r="Y203" s="16">
        <v>2</v>
      </c>
      <c r="Z203" s="16" t="s">
        <v>61</v>
      </c>
      <c r="AA203" s="16" t="s">
        <v>61</v>
      </c>
      <c r="AB203" s="20" t="s">
        <v>61</v>
      </c>
      <c r="AC203" s="20">
        <v>0</v>
      </c>
      <c r="AD203" s="20" t="s">
        <v>64</v>
      </c>
      <c r="AE203" s="16" t="s">
        <v>64</v>
      </c>
      <c r="AF203" s="20" t="s">
        <v>64</v>
      </c>
      <c r="AG203" s="20" t="s">
        <v>64</v>
      </c>
      <c r="AH203" s="20" t="s">
        <v>61</v>
      </c>
      <c r="AI203" s="16">
        <v>0</v>
      </c>
      <c r="AJ203" s="16" t="s">
        <v>64</v>
      </c>
      <c r="AK203" s="16" t="s">
        <v>64</v>
      </c>
      <c r="AL203" s="16" t="s">
        <v>64</v>
      </c>
      <c r="AM203" s="16" t="s">
        <v>64</v>
      </c>
      <c r="AN203" s="16" t="s">
        <v>64</v>
      </c>
      <c r="AO203" s="16" t="s">
        <v>64</v>
      </c>
      <c r="AP203" s="16">
        <v>0</v>
      </c>
      <c r="AQ203" s="127">
        <v>0</v>
      </c>
      <c r="AR203" s="127" t="s">
        <v>64</v>
      </c>
      <c r="AS203" s="127" t="s">
        <v>64</v>
      </c>
    </row>
    <row r="204" spans="1:45">
      <c r="A204" t="s">
        <v>761</v>
      </c>
      <c r="B204" t="s">
        <v>144</v>
      </c>
      <c r="C204" t="s">
        <v>260</v>
      </c>
      <c r="D204" s="22" t="s">
        <v>540</v>
      </c>
      <c r="E204" s="22" t="s">
        <v>1047</v>
      </c>
      <c r="F204" s="22" t="s">
        <v>1266</v>
      </c>
      <c r="G204" s="22" t="s">
        <v>64</v>
      </c>
      <c r="H204">
        <v>44</v>
      </c>
      <c r="I204">
        <v>43</v>
      </c>
      <c r="J204" s="15">
        <v>43055</v>
      </c>
      <c r="K204">
        <v>-1.5717650000000001</v>
      </c>
      <c r="L204">
        <v>29.678858000000002</v>
      </c>
      <c r="M204">
        <v>1725</v>
      </c>
      <c r="N204" t="s">
        <v>64</v>
      </c>
      <c r="O204" s="18" t="s">
        <v>1267</v>
      </c>
      <c r="P204" s="132">
        <f>15*10</f>
        <v>150</v>
      </c>
      <c r="Q204" s="20">
        <v>6</v>
      </c>
      <c r="R204" s="16" t="s">
        <v>1268</v>
      </c>
      <c r="S204" s="16">
        <v>1</v>
      </c>
      <c r="T204" s="129">
        <f>AVERAGE(1,1,2,1,1)</f>
        <v>1.2</v>
      </c>
      <c r="U204" s="16">
        <v>1</v>
      </c>
      <c r="V204" s="16">
        <f>AVERAGE(6,7,6,6,7)</f>
        <v>6.4</v>
      </c>
      <c r="W204" s="16">
        <v>0</v>
      </c>
      <c r="X204" s="16" t="s">
        <v>64</v>
      </c>
      <c r="Y204" s="16">
        <v>3</v>
      </c>
      <c r="Z204" s="16" t="s">
        <v>61</v>
      </c>
      <c r="AA204" s="16" t="s">
        <v>61</v>
      </c>
      <c r="AB204" s="20" t="s">
        <v>61</v>
      </c>
      <c r="AC204" s="20">
        <v>0</v>
      </c>
      <c r="AD204" s="20" t="s">
        <v>64</v>
      </c>
      <c r="AE204" s="16" t="s">
        <v>64</v>
      </c>
      <c r="AF204" s="20" t="s">
        <v>64</v>
      </c>
      <c r="AG204" s="20" t="s">
        <v>64</v>
      </c>
      <c r="AH204" s="26" t="s">
        <v>76</v>
      </c>
      <c r="AI204" s="16">
        <v>0</v>
      </c>
      <c r="AJ204" s="16" t="s">
        <v>64</v>
      </c>
      <c r="AK204" s="16" t="s">
        <v>64</v>
      </c>
      <c r="AL204" s="16" t="s">
        <v>64</v>
      </c>
      <c r="AM204" s="16" t="s">
        <v>64</v>
      </c>
      <c r="AN204" s="16" t="s">
        <v>64</v>
      </c>
      <c r="AO204" s="16" t="s">
        <v>64</v>
      </c>
      <c r="AP204" s="16">
        <v>0</v>
      </c>
      <c r="AQ204" s="127">
        <v>0</v>
      </c>
      <c r="AR204" s="127" t="s">
        <v>64</v>
      </c>
      <c r="AS204" s="127" t="s">
        <v>64</v>
      </c>
    </row>
    <row r="205" spans="1:45">
      <c r="A205" t="s">
        <v>761</v>
      </c>
      <c r="B205" t="s">
        <v>144</v>
      </c>
      <c r="C205" t="s">
        <v>260</v>
      </c>
      <c r="D205" s="22" t="s">
        <v>540</v>
      </c>
      <c r="E205" s="22" t="s">
        <v>1047</v>
      </c>
      <c r="F205" s="22" t="s">
        <v>1266</v>
      </c>
      <c r="G205" s="22" t="s">
        <v>64</v>
      </c>
      <c r="H205">
        <v>45</v>
      </c>
      <c r="I205">
        <v>44</v>
      </c>
      <c r="J205" s="15">
        <v>43055</v>
      </c>
      <c r="K205">
        <v>-1.586042</v>
      </c>
      <c r="L205">
        <v>29.686091000000001</v>
      </c>
      <c r="M205">
        <v>1828</v>
      </c>
      <c r="N205">
        <v>784033017</v>
      </c>
      <c r="O205" s="18" t="s">
        <v>1269</v>
      </c>
      <c r="P205" s="132">
        <f>26*18</f>
        <v>468</v>
      </c>
      <c r="Q205" s="20">
        <v>6</v>
      </c>
      <c r="R205" s="16" t="s">
        <v>1268</v>
      </c>
      <c r="S205" s="16">
        <v>0</v>
      </c>
      <c r="T205" s="18">
        <v>1</v>
      </c>
      <c r="U205" s="16">
        <v>1</v>
      </c>
      <c r="V205" s="16">
        <f>AVERAGE(4,6,4,6,4)</f>
        <v>4.8</v>
      </c>
      <c r="W205" s="16">
        <v>0</v>
      </c>
      <c r="X205" s="16" t="s">
        <v>64</v>
      </c>
      <c r="Y205" s="16">
        <v>2</v>
      </c>
      <c r="Z205" s="16" t="s">
        <v>782</v>
      </c>
      <c r="AA205" s="16" t="s">
        <v>61</v>
      </c>
      <c r="AB205" s="20" t="s">
        <v>61</v>
      </c>
      <c r="AC205" s="20">
        <v>0</v>
      </c>
      <c r="AD205" s="20" t="s">
        <v>64</v>
      </c>
      <c r="AE205" s="16" t="s">
        <v>64</v>
      </c>
      <c r="AF205" s="20" t="s">
        <v>64</v>
      </c>
      <c r="AG205" s="20" t="s">
        <v>64</v>
      </c>
      <c r="AH205" t="s">
        <v>61</v>
      </c>
      <c r="AI205" s="16">
        <v>1</v>
      </c>
      <c r="AJ205" s="16" t="s">
        <v>64</v>
      </c>
      <c r="AK205">
        <f>AVERAGE(60,80)</f>
        <v>70</v>
      </c>
      <c r="AL205">
        <v>0</v>
      </c>
      <c r="AM205" s="137">
        <v>0</v>
      </c>
      <c r="AN205">
        <v>1</v>
      </c>
      <c r="AO205" s="16">
        <v>0</v>
      </c>
      <c r="AP205" s="16">
        <v>1</v>
      </c>
      <c r="AQ205" s="127">
        <v>0</v>
      </c>
      <c r="AR205" s="127" t="s">
        <v>64</v>
      </c>
      <c r="AS205" s="127" t="s">
        <v>64</v>
      </c>
    </row>
    <row r="206" spans="1:45">
      <c r="A206" t="s">
        <v>761</v>
      </c>
      <c r="B206" t="s">
        <v>144</v>
      </c>
      <c r="C206" t="s">
        <v>260</v>
      </c>
      <c r="D206" s="22" t="s">
        <v>540</v>
      </c>
      <c r="E206" s="22" t="s">
        <v>1047</v>
      </c>
      <c r="F206" s="22" t="s">
        <v>1048</v>
      </c>
      <c r="G206" s="22" t="s">
        <v>64</v>
      </c>
      <c r="H206">
        <v>46</v>
      </c>
      <c r="I206">
        <v>45</v>
      </c>
      <c r="J206" s="15">
        <v>43055</v>
      </c>
      <c r="K206">
        <v>-1.609308</v>
      </c>
      <c r="L206">
        <v>29.687028000000002</v>
      </c>
      <c r="M206">
        <v>1701</v>
      </c>
      <c r="N206">
        <v>787210457</v>
      </c>
      <c r="O206" s="18" t="s">
        <v>1270</v>
      </c>
      <c r="P206" s="132">
        <f>40*15</f>
        <v>600</v>
      </c>
      <c r="Q206" s="20">
        <v>9</v>
      </c>
      <c r="R206" s="16" t="s">
        <v>1046</v>
      </c>
      <c r="S206" s="16">
        <v>0</v>
      </c>
      <c r="T206" s="18">
        <v>1</v>
      </c>
      <c r="U206" s="16">
        <v>1</v>
      </c>
      <c r="V206" s="16">
        <f>AVERAGE(7,6,8,6,7)</f>
        <v>6.8</v>
      </c>
      <c r="W206" s="16">
        <v>0</v>
      </c>
      <c r="X206" s="16" t="s">
        <v>64</v>
      </c>
      <c r="Y206" s="16">
        <v>1</v>
      </c>
      <c r="Z206" s="16" t="s">
        <v>782</v>
      </c>
      <c r="AA206" s="16" t="s">
        <v>61</v>
      </c>
      <c r="AB206" s="20" t="s">
        <v>61</v>
      </c>
      <c r="AC206" s="20">
        <v>0</v>
      </c>
      <c r="AD206" s="20" t="s">
        <v>64</v>
      </c>
      <c r="AE206" s="16" t="s">
        <v>64</v>
      </c>
      <c r="AF206" s="20" t="s">
        <v>64</v>
      </c>
      <c r="AG206" s="20" t="s">
        <v>64</v>
      </c>
      <c r="AH206" s="26" t="s">
        <v>76</v>
      </c>
      <c r="AI206" s="16">
        <v>1</v>
      </c>
      <c r="AJ206" s="16">
        <v>0</v>
      </c>
      <c r="AK206" s="16">
        <v>0</v>
      </c>
      <c r="AL206" s="58">
        <f>1/31*100</f>
        <v>3.225806451612903</v>
      </c>
      <c r="AM206" s="58">
        <f>0.11/2.25*100</f>
        <v>4.8888888888888893</v>
      </c>
      <c r="AN206">
        <v>0</v>
      </c>
      <c r="AO206" s="16">
        <v>0</v>
      </c>
      <c r="AP206" s="16">
        <v>0</v>
      </c>
      <c r="AQ206" s="127">
        <v>0</v>
      </c>
      <c r="AR206" s="127" t="s">
        <v>64</v>
      </c>
      <c r="AS206" s="127" t="s">
        <v>64</v>
      </c>
    </row>
    <row r="207" spans="1:45">
      <c r="A207" t="s">
        <v>761</v>
      </c>
      <c r="B207" t="s">
        <v>144</v>
      </c>
      <c r="C207" t="s">
        <v>260</v>
      </c>
      <c r="D207" s="22" t="s">
        <v>540</v>
      </c>
      <c r="E207" s="22" t="s">
        <v>541</v>
      </c>
      <c r="F207" s="22" t="s">
        <v>1271</v>
      </c>
      <c r="G207" s="22" t="s">
        <v>64</v>
      </c>
      <c r="H207">
        <v>47</v>
      </c>
      <c r="I207">
        <v>46</v>
      </c>
      <c r="J207" s="15">
        <v>43055</v>
      </c>
      <c r="K207">
        <v>-1.6280920000000001</v>
      </c>
      <c r="L207">
        <v>29.678229000000002</v>
      </c>
      <c r="M207">
        <v>1655</v>
      </c>
      <c r="N207">
        <v>785758509</v>
      </c>
      <c r="O207" s="18" t="s">
        <v>1272</v>
      </c>
      <c r="P207" s="132">
        <f>40*12</f>
        <v>480</v>
      </c>
      <c r="Q207" s="20">
        <v>5</v>
      </c>
      <c r="R207" s="16" t="s">
        <v>1273</v>
      </c>
      <c r="S207" s="16">
        <v>1</v>
      </c>
      <c r="T207" s="18">
        <f>AVERAGE(1,1,1,3,2)</f>
        <v>1.6</v>
      </c>
      <c r="U207" s="16">
        <v>1</v>
      </c>
      <c r="V207" s="16">
        <f>AVERAGE(7,6,7,7,8)</f>
        <v>7</v>
      </c>
      <c r="W207" s="16">
        <v>0</v>
      </c>
      <c r="X207" s="16" t="s">
        <v>64</v>
      </c>
      <c r="Y207" s="16">
        <v>1</v>
      </c>
      <c r="Z207" s="16" t="s">
        <v>61</v>
      </c>
      <c r="AA207" s="16" t="s">
        <v>61</v>
      </c>
      <c r="AB207" s="20" t="s">
        <v>61</v>
      </c>
      <c r="AC207" s="20">
        <v>0</v>
      </c>
      <c r="AD207" s="20" t="s">
        <v>64</v>
      </c>
      <c r="AE207" s="16" t="s">
        <v>64</v>
      </c>
      <c r="AF207" s="20" t="s">
        <v>64</v>
      </c>
      <c r="AG207" s="20" t="s">
        <v>64</v>
      </c>
      <c r="AH207" s="20" t="s">
        <v>61</v>
      </c>
      <c r="AI207" s="16">
        <v>0</v>
      </c>
      <c r="AJ207" s="16" t="s">
        <v>64</v>
      </c>
      <c r="AK207" s="16" t="s">
        <v>64</v>
      </c>
      <c r="AL207" s="16" t="s">
        <v>64</v>
      </c>
      <c r="AM207" s="16" t="s">
        <v>64</v>
      </c>
      <c r="AN207" s="16" t="s">
        <v>64</v>
      </c>
      <c r="AO207" s="16" t="s">
        <v>64</v>
      </c>
      <c r="AP207" s="16">
        <v>0</v>
      </c>
      <c r="AQ207" s="127">
        <v>0</v>
      </c>
      <c r="AR207" s="127" t="s">
        <v>64</v>
      </c>
      <c r="AS207" s="127" t="s">
        <v>64</v>
      </c>
    </row>
    <row r="208" spans="1:45">
      <c r="A208" t="s">
        <v>761</v>
      </c>
      <c r="B208" t="s">
        <v>144</v>
      </c>
      <c r="C208" t="s">
        <v>260</v>
      </c>
      <c r="D208" s="22" t="s">
        <v>540</v>
      </c>
      <c r="E208" s="22" t="s">
        <v>1221</v>
      </c>
      <c r="F208" s="22" t="s">
        <v>1274</v>
      </c>
      <c r="G208" s="22" t="s">
        <v>64</v>
      </c>
      <c r="H208">
        <v>48</v>
      </c>
      <c r="I208">
        <v>47</v>
      </c>
      <c r="J208" s="15">
        <v>43055</v>
      </c>
      <c r="K208">
        <v>-1.654639</v>
      </c>
      <c r="L208">
        <v>29.672509000000002</v>
      </c>
      <c r="M208">
        <v>1802</v>
      </c>
      <c r="N208" t="s">
        <v>64</v>
      </c>
      <c r="O208" s="18" t="s">
        <v>1275</v>
      </c>
      <c r="P208" s="132">
        <f>22*10</f>
        <v>220</v>
      </c>
      <c r="Q208" s="20">
        <v>6</v>
      </c>
      <c r="R208" s="16" t="s">
        <v>1046</v>
      </c>
      <c r="S208" s="16">
        <v>1</v>
      </c>
      <c r="T208" s="18">
        <f>AVERAGE(1,4,1,1,2)</f>
        <v>1.8</v>
      </c>
      <c r="U208" s="16">
        <v>1</v>
      </c>
      <c r="V208" s="16">
        <f>AVERAGE(5,6,6,5,7)</f>
        <v>5.8</v>
      </c>
      <c r="W208" s="16">
        <v>0</v>
      </c>
      <c r="X208" s="16" t="s">
        <v>64</v>
      </c>
      <c r="Y208" s="16">
        <v>0</v>
      </c>
      <c r="Z208" s="16" t="s">
        <v>61</v>
      </c>
      <c r="AA208" s="16" t="s">
        <v>61</v>
      </c>
      <c r="AB208" s="20" t="s">
        <v>61</v>
      </c>
      <c r="AC208" s="20">
        <v>0</v>
      </c>
      <c r="AD208" s="20" t="s">
        <v>64</v>
      </c>
      <c r="AE208" s="16" t="s">
        <v>64</v>
      </c>
      <c r="AF208" s="20" t="s">
        <v>64</v>
      </c>
      <c r="AG208" s="20" t="s">
        <v>64</v>
      </c>
      <c r="AH208" s="26" t="s">
        <v>76</v>
      </c>
      <c r="AI208" s="16">
        <v>1</v>
      </c>
      <c r="AJ208" s="16" t="s">
        <v>64</v>
      </c>
      <c r="AK208" s="16">
        <f>AVERAGE(30,60)</f>
        <v>45</v>
      </c>
      <c r="AL208" s="16">
        <v>0</v>
      </c>
      <c r="AM208" s="16">
        <v>0</v>
      </c>
      <c r="AN208">
        <v>0</v>
      </c>
      <c r="AO208" s="16">
        <v>0</v>
      </c>
      <c r="AP208" s="16">
        <v>0</v>
      </c>
      <c r="AQ208" s="127">
        <v>0</v>
      </c>
      <c r="AR208" s="127" t="s">
        <v>64</v>
      </c>
      <c r="AS208" s="127" t="s">
        <v>64</v>
      </c>
    </row>
    <row r="209" spans="1:45">
      <c r="A209" t="s">
        <v>761</v>
      </c>
      <c r="B209" t="s">
        <v>144</v>
      </c>
      <c r="C209" t="s">
        <v>260</v>
      </c>
      <c r="D209" s="22" t="s">
        <v>540</v>
      </c>
      <c r="E209" s="22" t="s">
        <v>1221</v>
      </c>
      <c r="F209" s="22" t="s">
        <v>1276</v>
      </c>
      <c r="G209" s="22" t="s">
        <v>64</v>
      </c>
      <c r="H209">
        <v>49</v>
      </c>
      <c r="I209">
        <v>48</v>
      </c>
      <c r="J209" s="15">
        <v>43055</v>
      </c>
      <c r="K209">
        <v>-1.6769259999999999</v>
      </c>
      <c r="L209">
        <v>29.6495</v>
      </c>
      <c r="M209">
        <v>1655</v>
      </c>
      <c r="N209">
        <v>783662</v>
      </c>
      <c r="O209" s="18" t="s">
        <v>1277</v>
      </c>
      <c r="P209" s="132" t="s">
        <v>64</v>
      </c>
      <c r="Q209" s="20">
        <v>6</v>
      </c>
      <c r="R209" s="16" t="s">
        <v>1046</v>
      </c>
      <c r="S209" s="16">
        <v>0</v>
      </c>
      <c r="T209" s="18">
        <v>1</v>
      </c>
      <c r="U209" s="16">
        <v>1</v>
      </c>
      <c r="V209" s="16">
        <f>AVERAGE(7,6,6,8,7)</f>
        <v>6.8</v>
      </c>
      <c r="W209" s="16">
        <v>0</v>
      </c>
      <c r="X209" s="16" t="s">
        <v>64</v>
      </c>
      <c r="Y209" s="16">
        <v>0</v>
      </c>
      <c r="Z209" s="16" t="s">
        <v>61</v>
      </c>
      <c r="AA209" s="16" t="s">
        <v>61</v>
      </c>
      <c r="AB209" s="20" t="s">
        <v>61</v>
      </c>
      <c r="AC209" s="20">
        <v>0</v>
      </c>
      <c r="AD209" s="20" t="s">
        <v>64</v>
      </c>
      <c r="AE209" s="16" t="s">
        <v>64</v>
      </c>
      <c r="AF209" s="20" t="s">
        <v>64</v>
      </c>
      <c r="AG209" s="20" t="s">
        <v>64</v>
      </c>
      <c r="AH209" s="20" t="s">
        <v>61</v>
      </c>
      <c r="AI209" s="16">
        <v>1</v>
      </c>
      <c r="AJ209" s="16" t="s">
        <v>64</v>
      </c>
      <c r="AK209">
        <f>AVERAGE(10,30)</f>
        <v>20</v>
      </c>
      <c r="AL209" s="16">
        <v>0</v>
      </c>
      <c r="AM209" s="16">
        <v>0</v>
      </c>
      <c r="AN209">
        <v>0</v>
      </c>
      <c r="AO209" s="16">
        <v>0</v>
      </c>
      <c r="AP209" s="16">
        <v>0</v>
      </c>
      <c r="AQ209" s="127">
        <v>0</v>
      </c>
      <c r="AR209" s="127" t="s">
        <v>64</v>
      </c>
      <c r="AS209" s="127" t="s">
        <v>64</v>
      </c>
    </row>
    <row r="210" spans="1:45">
      <c r="A210" t="s">
        <v>761</v>
      </c>
      <c r="B210" t="s">
        <v>144</v>
      </c>
      <c r="C210" t="s">
        <v>260</v>
      </c>
      <c r="D210" s="22" t="s">
        <v>261</v>
      </c>
      <c r="E210" s="22" t="s">
        <v>716</v>
      </c>
      <c r="F210" s="22" t="s">
        <v>288</v>
      </c>
      <c r="G210" s="22" t="s">
        <v>64</v>
      </c>
      <c r="H210">
        <v>50</v>
      </c>
      <c r="I210">
        <v>49</v>
      </c>
      <c r="J210" s="15">
        <v>43056</v>
      </c>
      <c r="K210">
        <v>-1.5781780000000001</v>
      </c>
      <c r="L210">
        <v>29.598220999999999</v>
      </c>
      <c r="M210">
        <v>2193</v>
      </c>
      <c r="N210">
        <v>783293888</v>
      </c>
      <c r="O210" s="18" t="s">
        <v>1278</v>
      </c>
      <c r="P210" s="132">
        <f>35*30</f>
        <v>1050</v>
      </c>
      <c r="Q210" s="20">
        <v>6</v>
      </c>
      <c r="R210" s="18" t="s">
        <v>1279</v>
      </c>
      <c r="S210" s="16">
        <v>0</v>
      </c>
      <c r="T210" s="18">
        <v>1</v>
      </c>
      <c r="U210" s="16">
        <v>1</v>
      </c>
      <c r="V210" s="16">
        <f>AVERAGE(6,7,7,8,7)</f>
        <v>7</v>
      </c>
      <c r="W210" s="16">
        <v>0</v>
      </c>
      <c r="X210" s="16" t="s">
        <v>64</v>
      </c>
      <c r="Y210" s="16">
        <v>0</v>
      </c>
      <c r="Z210" s="16" t="s">
        <v>61</v>
      </c>
      <c r="AA210" s="16" t="s">
        <v>61</v>
      </c>
      <c r="AB210" s="20" t="s">
        <v>61</v>
      </c>
      <c r="AC210" s="20">
        <v>0</v>
      </c>
      <c r="AD210" s="20" t="s">
        <v>64</v>
      </c>
      <c r="AE210" s="16" t="s">
        <v>64</v>
      </c>
      <c r="AF210" s="20" t="s">
        <v>64</v>
      </c>
      <c r="AG210" s="20" t="s">
        <v>64</v>
      </c>
      <c r="AH210" s="20" t="s">
        <v>61</v>
      </c>
      <c r="AI210" s="16">
        <v>0</v>
      </c>
      <c r="AJ210" s="16" t="s">
        <v>64</v>
      </c>
      <c r="AK210" s="16" t="s">
        <v>64</v>
      </c>
      <c r="AL210" s="16" t="s">
        <v>64</v>
      </c>
      <c r="AM210" s="16" t="s">
        <v>64</v>
      </c>
      <c r="AN210" s="16" t="s">
        <v>64</v>
      </c>
      <c r="AO210" s="16" t="s">
        <v>64</v>
      </c>
      <c r="AP210" s="16">
        <v>0</v>
      </c>
      <c r="AQ210" s="127">
        <v>0</v>
      </c>
      <c r="AR210" s="127" t="s">
        <v>64</v>
      </c>
      <c r="AS210" s="127" t="s">
        <v>64</v>
      </c>
    </row>
    <row r="211" spans="1:45">
      <c r="A211" t="s">
        <v>761</v>
      </c>
      <c r="B211" t="s">
        <v>144</v>
      </c>
      <c r="C211" t="s">
        <v>260</v>
      </c>
      <c r="D211" s="22" t="s">
        <v>261</v>
      </c>
      <c r="E211" s="22" t="s">
        <v>716</v>
      </c>
      <c r="F211" s="22" t="s">
        <v>1280</v>
      </c>
      <c r="G211" s="22" t="s">
        <v>64</v>
      </c>
      <c r="H211">
        <v>51</v>
      </c>
      <c r="I211">
        <v>50</v>
      </c>
      <c r="J211" s="15">
        <v>43056</v>
      </c>
      <c r="K211">
        <v>-1.5747690000000001</v>
      </c>
      <c r="L211">
        <v>29.595914</v>
      </c>
      <c r="M211">
        <v>2229</v>
      </c>
      <c r="N211" t="s">
        <v>64</v>
      </c>
      <c r="O211" s="18" t="s">
        <v>1281</v>
      </c>
      <c r="P211" s="132">
        <f>15*7</f>
        <v>105</v>
      </c>
      <c r="Q211" s="20">
        <v>7</v>
      </c>
      <c r="R211" s="18" t="s">
        <v>1279</v>
      </c>
      <c r="S211" s="16">
        <v>1</v>
      </c>
      <c r="T211" s="18">
        <f>AVERAGE(1,2,1,1,1)</f>
        <v>1.2</v>
      </c>
      <c r="U211" s="16">
        <v>1</v>
      </c>
      <c r="V211" s="16">
        <f>AVERAGE(7,6,7,8,9)</f>
        <v>7.4</v>
      </c>
      <c r="W211" s="16">
        <v>0</v>
      </c>
      <c r="X211" s="16" t="s">
        <v>64</v>
      </c>
      <c r="Y211" s="16">
        <v>2</v>
      </c>
      <c r="Z211" s="16" t="s">
        <v>61</v>
      </c>
      <c r="AA211" s="16" t="s">
        <v>61</v>
      </c>
      <c r="AB211" s="20" t="s">
        <v>61</v>
      </c>
      <c r="AC211" s="20">
        <v>0</v>
      </c>
      <c r="AD211" s="20" t="s">
        <v>64</v>
      </c>
      <c r="AE211" s="16" t="s">
        <v>64</v>
      </c>
      <c r="AF211" s="20" t="s">
        <v>64</v>
      </c>
      <c r="AG211" s="20" t="s">
        <v>64</v>
      </c>
      <c r="AH211" s="20" t="s">
        <v>61</v>
      </c>
      <c r="AI211" s="16">
        <v>0</v>
      </c>
      <c r="AJ211" s="16" t="s">
        <v>64</v>
      </c>
      <c r="AK211" s="16" t="s">
        <v>64</v>
      </c>
      <c r="AL211" s="16" t="s">
        <v>64</v>
      </c>
      <c r="AM211" s="16" t="s">
        <v>64</v>
      </c>
      <c r="AN211" s="16" t="s">
        <v>64</v>
      </c>
      <c r="AO211" s="16" t="s">
        <v>64</v>
      </c>
      <c r="AP211" s="16">
        <v>0</v>
      </c>
      <c r="AQ211" s="127">
        <v>0</v>
      </c>
      <c r="AR211" s="127" t="s">
        <v>64</v>
      </c>
      <c r="AS211" s="127" t="s">
        <v>64</v>
      </c>
    </row>
    <row r="212" spans="1:45">
      <c r="A212" t="s">
        <v>761</v>
      </c>
      <c r="B212" t="s">
        <v>144</v>
      </c>
      <c r="C212" t="s">
        <v>260</v>
      </c>
      <c r="D212" s="22" t="s">
        <v>261</v>
      </c>
      <c r="E212" s="22" t="s">
        <v>716</v>
      </c>
      <c r="F212" s="22" t="s">
        <v>1280</v>
      </c>
      <c r="G212" s="22" t="s">
        <v>64</v>
      </c>
      <c r="H212">
        <v>52</v>
      </c>
      <c r="I212">
        <v>51</v>
      </c>
      <c r="J212" s="15">
        <v>43056</v>
      </c>
      <c r="K212">
        <v>-1.562173</v>
      </c>
      <c r="L212">
        <v>29.612328999999999</v>
      </c>
      <c r="M212">
        <v>1903</v>
      </c>
      <c r="N212">
        <v>785188125</v>
      </c>
      <c r="O212" s="18" t="s">
        <v>1282</v>
      </c>
      <c r="P212" s="132">
        <f>15*20</f>
        <v>300</v>
      </c>
      <c r="Q212" s="20">
        <v>5</v>
      </c>
      <c r="R212" s="18" t="s">
        <v>1279</v>
      </c>
      <c r="S212" s="16">
        <v>1</v>
      </c>
      <c r="T212" s="18">
        <f>AVERAGE(1,2,1,1,1)</f>
        <v>1.2</v>
      </c>
      <c r="U212" s="16">
        <v>1</v>
      </c>
      <c r="V212" s="16">
        <f>AVERAGE(7,7,8,7,6)</f>
        <v>7</v>
      </c>
      <c r="W212" s="16">
        <v>0</v>
      </c>
      <c r="X212" s="16" t="s">
        <v>64</v>
      </c>
      <c r="Y212" s="16">
        <v>1</v>
      </c>
      <c r="Z212" s="16" t="s">
        <v>61</v>
      </c>
      <c r="AA212" s="16" t="s">
        <v>61</v>
      </c>
      <c r="AB212" s="20" t="s">
        <v>61</v>
      </c>
      <c r="AC212" s="20">
        <v>0</v>
      </c>
      <c r="AD212" s="20" t="s">
        <v>64</v>
      </c>
      <c r="AE212" s="16" t="s">
        <v>64</v>
      </c>
      <c r="AF212" s="20" t="s">
        <v>64</v>
      </c>
      <c r="AG212" s="20" t="s">
        <v>64</v>
      </c>
      <c r="AH212" s="20" t="s">
        <v>61</v>
      </c>
      <c r="AI212" s="16">
        <v>0</v>
      </c>
      <c r="AJ212" s="16" t="s">
        <v>64</v>
      </c>
      <c r="AK212" s="16" t="s">
        <v>64</v>
      </c>
      <c r="AL212" s="16" t="s">
        <v>64</v>
      </c>
      <c r="AM212" s="16" t="s">
        <v>64</v>
      </c>
      <c r="AN212" s="16" t="s">
        <v>64</v>
      </c>
      <c r="AO212" s="16" t="s">
        <v>64</v>
      </c>
      <c r="AP212" s="16">
        <v>0</v>
      </c>
      <c r="AQ212" s="127">
        <v>0</v>
      </c>
      <c r="AR212" s="127" t="s">
        <v>64</v>
      </c>
      <c r="AS212" s="127" t="s">
        <v>64</v>
      </c>
    </row>
    <row r="213" spans="1:45">
      <c r="F213" s="22"/>
      <c r="G213" s="22"/>
      <c r="J213" s="15"/>
      <c r="O213" s="18"/>
      <c r="P213" s="132"/>
      <c r="Q213" s="20"/>
      <c r="R213" s="16"/>
      <c r="S213" s="16"/>
      <c r="AB213" s="20"/>
      <c r="AF213"/>
      <c r="AG213" s="16"/>
      <c r="AH213" s="16"/>
      <c r="AI213"/>
      <c r="AJ213"/>
      <c r="AM213"/>
    </row>
    <row r="214" spans="1:45">
      <c r="F214" s="22"/>
      <c r="G214" s="22"/>
      <c r="J214" s="15"/>
      <c r="O214" s="18"/>
      <c r="P214" s="132"/>
      <c r="Q214" s="20"/>
      <c r="R214" s="16"/>
      <c r="S214" s="16"/>
      <c r="AB214" s="20"/>
      <c r="AF214"/>
      <c r="AG214" s="16"/>
      <c r="AH214" s="16"/>
      <c r="AI214"/>
      <c r="AJ214"/>
      <c r="AM214"/>
    </row>
    <row r="215" spans="1:45">
      <c r="F215" s="22"/>
      <c r="G215" s="22"/>
      <c r="J215" s="15"/>
      <c r="O215" s="18"/>
      <c r="P215" s="132"/>
      <c r="Q215" s="20"/>
      <c r="R215" s="16"/>
      <c r="S215" s="16"/>
      <c r="AB215" s="20"/>
      <c r="AF215"/>
      <c r="AG215" s="16"/>
      <c r="AH215" s="16"/>
      <c r="AI215"/>
      <c r="AJ215"/>
      <c r="AM215"/>
    </row>
  </sheetData>
  <sortState xmlns:xlrd2="http://schemas.microsoft.com/office/spreadsheetml/2017/richdata2" ref="A2:AV215">
    <sortCondition ref="A2:A215"/>
    <sortCondition ref="C2:C215"/>
    <sortCondition ref="B2:B215"/>
    <sortCondition ref="H2:H215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3"/>
  <sheetViews>
    <sheetView topLeftCell="E1" workbookViewId="0">
      <selection activeCell="I19" sqref="I19"/>
    </sheetView>
  </sheetViews>
  <sheetFormatPr defaultColWidth="11.140625" defaultRowHeight="14.45"/>
  <cols>
    <col min="1" max="3" width="11.140625" style="1"/>
    <col min="4" max="6" width="11.140625" style="25"/>
    <col min="7" max="7" width="11.140625" style="1"/>
    <col min="14" max="14" width="11.140625" style="26"/>
  </cols>
  <sheetData>
    <row r="1" spans="1:17" s="4" customFormat="1">
      <c r="A1" s="4" t="s">
        <v>0</v>
      </c>
      <c r="B1" s="4" t="s">
        <v>2</v>
      </c>
      <c r="C1" s="4" t="s">
        <v>8</v>
      </c>
      <c r="D1" s="23" t="s">
        <v>7</v>
      </c>
      <c r="E1" s="23" t="s">
        <v>1283</v>
      </c>
      <c r="F1" s="23" t="s">
        <v>11</v>
      </c>
      <c r="G1" s="4" t="s">
        <v>1284</v>
      </c>
      <c r="H1" s="4" t="s">
        <v>1285</v>
      </c>
      <c r="I1" s="4" t="s">
        <v>1286</v>
      </c>
      <c r="J1" s="21" t="s">
        <v>1287</v>
      </c>
      <c r="K1" s="21" t="s">
        <v>1288</v>
      </c>
      <c r="L1" s="21" t="s">
        <v>1289</v>
      </c>
      <c r="M1" s="21" t="s">
        <v>1290</v>
      </c>
      <c r="N1" s="27" t="s">
        <v>1291</v>
      </c>
      <c r="O1" t="s">
        <v>1292</v>
      </c>
      <c r="P1" t="s">
        <v>1293</v>
      </c>
      <c r="Q1" t="s">
        <v>1294</v>
      </c>
    </row>
    <row r="2" spans="1:17">
      <c r="A2" t="s">
        <v>47</v>
      </c>
      <c r="B2" t="s">
        <v>260</v>
      </c>
      <c r="C2" s="15">
        <v>42202</v>
      </c>
      <c r="D2" s="24">
        <v>1</v>
      </c>
      <c r="E2" s="24" t="s">
        <v>84</v>
      </c>
      <c r="F2" s="24">
        <v>1916</v>
      </c>
      <c r="G2" s="1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 s="26">
        <v>0</v>
      </c>
    </row>
    <row r="3" spans="1:17">
      <c r="A3" t="s">
        <v>47</v>
      </c>
      <c r="B3" t="s">
        <v>260</v>
      </c>
      <c r="C3" s="15">
        <v>42202</v>
      </c>
      <c r="D3" s="24">
        <v>1</v>
      </c>
      <c r="E3" s="24" t="s">
        <v>230</v>
      </c>
      <c r="F3" s="24">
        <v>1916</v>
      </c>
      <c r="G3" s="1">
        <v>2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 s="26">
        <v>1</v>
      </c>
    </row>
    <row r="4" spans="1:17">
      <c r="A4" t="s">
        <v>47</v>
      </c>
      <c r="B4" t="s">
        <v>260</v>
      </c>
      <c r="C4" s="15">
        <v>42202</v>
      </c>
      <c r="D4" s="24" t="s">
        <v>230</v>
      </c>
      <c r="E4" s="24" t="s">
        <v>84</v>
      </c>
      <c r="F4" s="24">
        <v>1957</v>
      </c>
      <c r="G4" s="1">
        <v>3</v>
      </c>
      <c r="H4">
        <v>0</v>
      </c>
      <c r="I4">
        <v>1</v>
      </c>
      <c r="J4">
        <v>2</v>
      </c>
      <c r="K4">
        <v>0</v>
      </c>
      <c r="L4">
        <v>0</v>
      </c>
      <c r="M4">
        <v>0</v>
      </c>
      <c r="N4" s="26">
        <v>1</v>
      </c>
      <c r="O4" t="s">
        <v>1295</v>
      </c>
    </row>
    <row r="5" spans="1:17">
      <c r="A5" t="s">
        <v>47</v>
      </c>
      <c r="B5" t="s">
        <v>260</v>
      </c>
      <c r="C5" s="15">
        <v>42202</v>
      </c>
      <c r="D5" s="24" t="s">
        <v>230</v>
      </c>
      <c r="E5" s="24" t="s">
        <v>230</v>
      </c>
      <c r="F5" s="24">
        <v>1957</v>
      </c>
      <c r="G5" s="1">
        <v>4</v>
      </c>
      <c r="H5">
        <v>1</v>
      </c>
      <c r="I5">
        <v>1</v>
      </c>
      <c r="J5">
        <v>2</v>
      </c>
      <c r="K5">
        <v>0</v>
      </c>
      <c r="L5">
        <v>0</v>
      </c>
      <c r="M5">
        <v>0</v>
      </c>
      <c r="N5" s="26">
        <v>1</v>
      </c>
      <c r="O5" t="s">
        <v>1296</v>
      </c>
    </row>
    <row r="6" spans="1:17">
      <c r="A6" t="s">
        <v>47</v>
      </c>
      <c r="B6" t="s">
        <v>260</v>
      </c>
      <c r="C6" s="15">
        <v>42202</v>
      </c>
      <c r="D6" s="24" t="s">
        <v>1297</v>
      </c>
      <c r="E6" s="24" t="s">
        <v>84</v>
      </c>
      <c r="F6" s="24">
        <v>2014</v>
      </c>
      <c r="G6" s="1">
        <v>5</v>
      </c>
      <c r="H6">
        <v>1</v>
      </c>
      <c r="I6">
        <v>2</v>
      </c>
      <c r="J6">
        <v>2</v>
      </c>
      <c r="K6">
        <v>0</v>
      </c>
      <c r="L6">
        <v>0</v>
      </c>
      <c r="M6">
        <v>0</v>
      </c>
      <c r="N6" s="26">
        <v>1</v>
      </c>
      <c r="O6" t="s">
        <v>1298</v>
      </c>
    </row>
    <row r="7" spans="1:17">
      <c r="A7" t="s">
        <v>47</v>
      </c>
      <c r="B7" t="s">
        <v>260</v>
      </c>
      <c r="C7" s="15">
        <v>42202</v>
      </c>
      <c r="D7" s="24" t="s">
        <v>1297</v>
      </c>
      <c r="E7" s="24" t="s">
        <v>230</v>
      </c>
      <c r="F7" s="24">
        <v>2014</v>
      </c>
      <c r="G7" s="1">
        <v>6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 s="26">
        <v>1</v>
      </c>
      <c r="O7" t="s">
        <v>1299</v>
      </c>
    </row>
    <row r="8" spans="1:17">
      <c r="A8" t="s">
        <v>47</v>
      </c>
      <c r="B8" t="s">
        <v>260</v>
      </c>
      <c r="C8" s="15">
        <v>42202</v>
      </c>
      <c r="D8" s="24" t="s">
        <v>1300</v>
      </c>
      <c r="E8" s="24" t="s">
        <v>84</v>
      </c>
      <c r="F8" s="24">
        <v>2076</v>
      </c>
      <c r="G8" s="1">
        <v>7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 s="26">
        <v>1</v>
      </c>
    </row>
    <row r="9" spans="1:17">
      <c r="A9" t="s">
        <v>47</v>
      </c>
      <c r="B9" t="s">
        <v>260</v>
      </c>
      <c r="C9" s="15">
        <v>42202</v>
      </c>
      <c r="D9" s="24" t="s">
        <v>1300</v>
      </c>
      <c r="E9" s="24" t="s">
        <v>230</v>
      </c>
      <c r="F9" s="24">
        <v>2076</v>
      </c>
      <c r="G9" s="1">
        <v>8</v>
      </c>
      <c r="H9">
        <v>1</v>
      </c>
      <c r="I9">
        <v>2</v>
      </c>
      <c r="J9">
        <v>2</v>
      </c>
      <c r="K9">
        <v>0</v>
      </c>
      <c r="L9">
        <v>0</v>
      </c>
      <c r="M9">
        <v>0</v>
      </c>
      <c r="N9" s="26">
        <v>1</v>
      </c>
    </row>
    <row r="10" spans="1:17">
      <c r="A10" t="s">
        <v>47</v>
      </c>
      <c r="B10" t="s">
        <v>260</v>
      </c>
      <c r="C10" s="15">
        <v>42202</v>
      </c>
      <c r="D10" s="24" t="s">
        <v>1301</v>
      </c>
      <c r="E10" s="24" t="s">
        <v>84</v>
      </c>
      <c r="F10" s="24">
        <v>2160</v>
      </c>
      <c r="G10" s="1">
        <v>9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 s="26">
        <v>0</v>
      </c>
    </row>
    <row r="11" spans="1:17">
      <c r="A11" t="s">
        <v>47</v>
      </c>
      <c r="B11" t="s">
        <v>260</v>
      </c>
      <c r="C11" s="15">
        <v>42202</v>
      </c>
      <c r="D11" s="24" t="s">
        <v>1301</v>
      </c>
      <c r="E11" s="24" t="s">
        <v>230</v>
      </c>
      <c r="F11" s="24">
        <v>2160</v>
      </c>
      <c r="G11" s="1">
        <v>10</v>
      </c>
      <c r="H11">
        <v>1</v>
      </c>
      <c r="I11">
        <v>1</v>
      </c>
      <c r="J11">
        <v>2</v>
      </c>
      <c r="K11">
        <v>0</v>
      </c>
      <c r="L11">
        <v>0</v>
      </c>
      <c r="M11">
        <v>0</v>
      </c>
      <c r="N11" s="26">
        <v>0</v>
      </c>
    </row>
    <row r="12" spans="1:17">
      <c r="A12" t="s">
        <v>47</v>
      </c>
      <c r="B12" t="s">
        <v>260</v>
      </c>
      <c r="C12" s="15">
        <v>42202</v>
      </c>
      <c r="D12" s="24" t="s">
        <v>1302</v>
      </c>
      <c r="E12" s="24" t="s">
        <v>84</v>
      </c>
      <c r="F12" s="24">
        <v>2386</v>
      </c>
      <c r="G12" s="1">
        <v>11</v>
      </c>
      <c r="H12">
        <v>1</v>
      </c>
      <c r="I12">
        <v>2</v>
      </c>
      <c r="J12">
        <v>2</v>
      </c>
      <c r="K12">
        <v>0</v>
      </c>
      <c r="L12">
        <v>0</v>
      </c>
      <c r="M12">
        <v>0</v>
      </c>
      <c r="N12" s="26">
        <v>0</v>
      </c>
    </row>
    <row r="13" spans="1:17">
      <c r="A13" t="s">
        <v>47</v>
      </c>
      <c r="B13" t="s">
        <v>260</v>
      </c>
      <c r="C13" s="15">
        <v>42202</v>
      </c>
      <c r="D13" s="24" t="s">
        <v>1302</v>
      </c>
      <c r="E13" s="24" t="s">
        <v>230</v>
      </c>
      <c r="F13" s="24">
        <v>2386</v>
      </c>
      <c r="G13" s="1">
        <v>12</v>
      </c>
      <c r="H13">
        <v>1</v>
      </c>
      <c r="I13">
        <v>1</v>
      </c>
      <c r="J13">
        <v>2</v>
      </c>
      <c r="K13">
        <v>0</v>
      </c>
      <c r="L13">
        <v>0</v>
      </c>
      <c r="M13">
        <v>0</v>
      </c>
      <c r="N13" s="26">
        <v>0</v>
      </c>
    </row>
    <row r="14" spans="1:17">
      <c r="A14" t="s">
        <v>47</v>
      </c>
      <c r="B14" t="s">
        <v>260</v>
      </c>
      <c r="C14" s="15">
        <v>42202</v>
      </c>
      <c r="D14" s="24" t="s">
        <v>1303</v>
      </c>
      <c r="E14" s="24" t="s">
        <v>84</v>
      </c>
      <c r="F14" s="24">
        <v>2446</v>
      </c>
      <c r="G14" s="1">
        <v>13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 s="26">
        <v>1</v>
      </c>
    </row>
    <row r="15" spans="1:17">
      <c r="A15" t="s">
        <v>47</v>
      </c>
      <c r="B15" t="s">
        <v>260</v>
      </c>
      <c r="C15" s="15">
        <v>42202</v>
      </c>
      <c r="D15" s="24" t="s">
        <v>1303</v>
      </c>
      <c r="E15" s="24" t="s">
        <v>230</v>
      </c>
      <c r="F15" s="24">
        <v>2446</v>
      </c>
      <c r="G15" s="1">
        <v>14</v>
      </c>
      <c r="H15">
        <v>0</v>
      </c>
      <c r="I15">
        <v>2</v>
      </c>
      <c r="J15">
        <v>2</v>
      </c>
      <c r="K15">
        <v>0</v>
      </c>
      <c r="L15">
        <v>0</v>
      </c>
      <c r="M15">
        <v>0</v>
      </c>
      <c r="N15" s="26">
        <v>0</v>
      </c>
    </row>
    <row r="16" spans="1:17">
      <c r="A16" t="s">
        <v>47</v>
      </c>
      <c r="B16" t="s">
        <v>260</v>
      </c>
      <c r="C16" s="15">
        <v>42202</v>
      </c>
      <c r="D16" s="24" t="s">
        <v>1304</v>
      </c>
      <c r="E16" s="24" t="s">
        <v>84</v>
      </c>
      <c r="F16" s="24">
        <v>2450</v>
      </c>
      <c r="G16" s="1">
        <v>15</v>
      </c>
      <c r="H16">
        <v>1</v>
      </c>
      <c r="I16">
        <v>1</v>
      </c>
      <c r="J16">
        <v>2</v>
      </c>
      <c r="K16">
        <v>0</v>
      </c>
      <c r="L16">
        <v>0</v>
      </c>
      <c r="M16">
        <v>0</v>
      </c>
      <c r="N16" s="26">
        <v>1</v>
      </c>
      <c r="O16" t="s">
        <v>1305</v>
      </c>
    </row>
    <row r="17" spans="1:14">
      <c r="A17" t="s">
        <v>47</v>
      </c>
      <c r="B17" t="s">
        <v>260</v>
      </c>
      <c r="C17" s="15">
        <v>42202</v>
      </c>
      <c r="D17" s="24" t="s">
        <v>1304</v>
      </c>
      <c r="E17" s="24" t="s">
        <v>230</v>
      </c>
      <c r="F17" s="24">
        <v>2450</v>
      </c>
      <c r="G17" s="1">
        <v>16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 s="26">
        <v>1</v>
      </c>
    </row>
    <row r="18" spans="1:14">
      <c r="A18" t="s">
        <v>47</v>
      </c>
      <c r="B18" t="s">
        <v>260</v>
      </c>
      <c r="C18" s="15">
        <v>42202</v>
      </c>
      <c r="D18" s="24" t="s">
        <v>1306</v>
      </c>
      <c r="E18" s="24" t="s">
        <v>84</v>
      </c>
      <c r="F18" s="24">
        <v>2500</v>
      </c>
      <c r="G18" s="1">
        <v>17</v>
      </c>
      <c r="H18">
        <v>1</v>
      </c>
      <c r="I18">
        <v>2</v>
      </c>
      <c r="J18">
        <v>2</v>
      </c>
      <c r="K18">
        <v>0</v>
      </c>
      <c r="L18">
        <v>0</v>
      </c>
      <c r="M18">
        <v>0</v>
      </c>
      <c r="N18" s="26">
        <v>1</v>
      </c>
    </row>
    <row r="19" spans="1:14">
      <c r="A19" t="s">
        <v>47</v>
      </c>
      <c r="B19" t="s">
        <v>260</v>
      </c>
      <c r="C19" s="15">
        <v>42202</v>
      </c>
      <c r="D19" s="25" t="s">
        <v>1306</v>
      </c>
      <c r="E19" s="25" t="s">
        <v>230</v>
      </c>
      <c r="F19" s="25">
        <v>2500</v>
      </c>
      <c r="G19" s="1">
        <v>18</v>
      </c>
      <c r="H19">
        <v>1</v>
      </c>
      <c r="I19">
        <v>1</v>
      </c>
      <c r="J19">
        <v>2</v>
      </c>
      <c r="K19">
        <v>0</v>
      </c>
      <c r="L19">
        <v>0</v>
      </c>
      <c r="M19">
        <v>0</v>
      </c>
      <c r="N19" s="26">
        <v>1</v>
      </c>
    </row>
    <row r="20" spans="1:14">
      <c r="A20" t="s">
        <v>47</v>
      </c>
      <c r="B20" t="s">
        <v>260</v>
      </c>
      <c r="C20" s="15">
        <v>42202</v>
      </c>
      <c r="D20" s="24" t="s">
        <v>1307</v>
      </c>
      <c r="E20" s="24" t="s">
        <v>84</v>
      </c>
      <c r="F20" s="24">
        <v>2523</v>
      </c>
      <c r="G20" s="1">
        <v>19</v>
      </c>
      <c r="H20">
        <v>1</v>
      </c>
      <c r="I20">
        <v>0</v>
      </c>
      <c r="J20">
        <v>2</v>
      </c>
      <c r="K20">
        <v>0</v>
      </c>
      <c r="L20">
        <v>0</v>
      </c>
      <c r="M20">
        <v>0</v>
      </c>
      <c r="N20" s="26">
        <v>0</v>
      </c>
    </row>
    <row r="21" spans="1:14">
      <c r="A21" t="s">
        <v>47</v>
      </c>
      <c r="B21" t="s">
        <v>260</v>
      </c>
      <c r="C21" s="15">
        <v>42202</v>
      </c>
      <c r="D21" s="24" t="s">
        <v>1307</v>
      </c>
      <c r="E21" s="24" t="s">
        <v>230</v>
      </c>
      <c r="F21" s="24">
        <v>2523</v>
      </c>
      <c r="G21" s="1">
        <v>20</v>
      </c>
      <c r="H21">
        <v>1</v>
      </c>
      <c r="I21">
        <v>0</v>
      </c>
      <c r="J21">
        <v>2</v>
      </c>
      <c r="K21">
        <v>0</v>
      </c>
      <c r="L21">
        <v>0</v>
      </c>
      <c r="M21">
        <v>0</v>
      </c>
      <c r="N21" s="26">
        <v>1</v>
      </c>
    </row>
    <row r="22" spans="1:14">
      <c r="A22" t="s">
        <v>47</v>
      </c>
      <c r="B22" t="s">
        <v>260</v>
      </c>
      <c r="C22" s="15">
        <v>42202</v>
      </c>
      <c r="D22" s="24" t="s">
        <v>1308</v>
      </c>
      <c r="E22" s="24" t="s">
        <v>84</v>
      </c>
      <c r="F22" s="24">
        <v>2510</v>
      </c>
      <c r="G22" s="1">
        <v>21</v>
      </c>
      <c r="H22">
        <v>1</v>
      </c>
      <c r="I22">
        <v>1</v>
      </c>
      <c r="J22">
        <v>2</v>
      </c>
      <c r="K22">
        <v>0</v>
      </c>
      <c r="L22">
        <v>0</v>
      </c>
      <c r="M22">
        <v>0</v>
      </c>
      <c r="N22" s="26">
        <v>1</v>
      </c>
    </row>
    <row r="23" spans="1:14">
      <c r="A23" t="s">
        <v>47</v>
      </c>
      <c r="B23" t="s">
        <v>260</v>
      </c>
      <c r="C23" s="15">
        <v>42202</v>
      </c>
      <c r="D23" s="24" t="s">
        <v>1308</v>
      </c>
      <c r="E23" s="24" t="s">
        <v>230</v>
      </c>
      <c r="F23" s="24">
        <v>2510</v>
      </c>
      <c r="G23" s="1">
        <v>22</v>
      </c>
      <c r="H23">
        <v>1</v>
      </c>
      <c r="I23">
        <v>1</v>
      </c>
      <c r="J23">
        <v>2</v>
      </c>
      <c r="K23">
        <v>0</v>
      </c>
      <c r="L23">
        <v>0</v>
      </c>
      <c r="M23">
        <v>0</v>
      </c>
      <c r="N23" s="26">
        <v>1</v>
      </c>
    </row>
    <row r="24" spans="1:14">
      <c r="A24" t="s">
        <v>47</v>
      </c>
      <c r="B24" t="s">
        <v>260</v>
      </c>
      <c r="C24" s="15">
        <v>42202</v>
      </c>
      <c r="D24" s="24" t="s">
        <v>1309</v>
      </c>
      <c r="E24" s="24" t="s">
        <v>84</v>
      </c>
      <c r="F24" s="24">
        <v>2509</v>
      </c>
      <c r="G24" s="1">
        <v>23</v>
      </c>
      <c r="H24">
        <v>1</v>
      </c>
      <c r="I24">
        <v>1</v>
      </c>
      <c r="J24">
        <v>2</v>
      </c>
      <c r="K24">
        <v>0</v>
      </c>
      <c r="L24">
        <v>0</v>
      </c>
      <c r="M24">
        <v>0</v>
      </c>
      <c r="N24" s="26">
        <v>0</v>
      </c>
    </row>
    <row r="25" spans="1:14">
      <c r="A25" t="s">
        <v>47</v>
      </c>
      <c r="B25" t="s">
        <v>260</v>
      </c>
      <c r="C25" s="15">
        <v>42202</v>
      </c>
      <c r="D25" s="24" t="s">
        <v>1309</v>
      </c>
      <c r="E25" s="24" t="s">
        <v>230</v>
      </c>
      <c r="F25" s="24">
        <v>2509</v>
      </c>
      <c r="G25" s="1">
        <v>24</v>
      </c>
      <c r="H25">
        <v>1</v>
      </c>
      <c r="I25">
        <v>0</v>
      </c>
      <c r="J25">
        <v>2</v>
      </c>
      <c r="K25">
        <v>0</v>
      </c>
      <c r="L25">
        <v>0</v>
      </c>
      <c r="M25">
        <v>0</v>
      </c>
      <c r="N25" s="26">
        <v>1</v>
      </c>
    </row>
    <row r="26" spans="1:14">
      <c r="A26" t="s">
        <v>47</v>
      </c>
      <c r="B26" t="s">
        <v>260</v>
      </c>
      <c r="C26" s="15">
        <v>42202</v>
      </c>
      <c r="D26" s="24" t="s">
        <v>1310</v>
      </c>
      <c r="E26" s="24" t="s">
        <v>84</v>
      </c>
      <c r="F26" s="24">
        <v>2307</v>
      </c>
      <c r="G26" s="1">
        <v>25</v>
      </c>
      <c r="H26">
        <v>0</v>
      </c>
      <c r="I26">
        <v>1</v>
      </c>
      <c r="J26">
        <v>2</v>
      </c>
      <c r="K26">
        <v>0</v>
      </c>
      <c r="L26">
        <v>0</v>
      </c>
      <c r="M26">
        <v>0</v>
      </c>
      <c r="N26" s="26">
        <v>1</v>
      </c>
    </row>
    <row r="27" spans="1:14">
      <c r="A27" t="s">
        <v>47</v>
      </c>
      <c r="B27" t="s">
        <v>260</v>
      </c>
      <c r="C27" s="15">
        <v>42202</v>
      </c>
      <c r="D27" s="24" t="s">
        <v>1310</v>
      </c>
      <c r="E27" s="24" t="s">
        <v>230</v>
      </c>
      <c r="F27" s="24">
        <v>2307</v>
      </c>
      <c r="G27" s="1">
        <v>26</v>
      </c>
      <c r="H27">
        <v>1</v>
      </c>
      <c r="I27">
        <v>2</v>
      </c>
      <c r="J27">
        <v>2</v>
      </c>
      <c r="K27">
        <v>0</v>
      </c>
      <c r="L27">
        <v>0</v>
      </c>
      <c r="M27">
        <v>0</v>
      </c>
      <c r="N27" s="26">
        <v>0</v>
      </c>
    </row>
    <row r="28" spans="1:14">
      <c r="A28" t="s">
        <v>47</v>
      </c>
      <c r="B28" t="s">
        <v>260</v>
      </c>
      <c r="C28" s="15">
        <v>42202</v>
      </c>
      <c r="D28" s="24" t="s">
        <v>1311</v>
      </c>
      <c r="E28" s="24" t="s">
        <v>84</v>
      </c>
      <c r="F28" s="24">
        <v>2413</v>
      </c>
      <c r="G28" s="1">
        <v>27</v>
      </c>
      <c r="H28">
        <v>1</v>
      </c>
      <c r="I28">
        <v>2</v>
      </c>
      <c r="J28">
        <v>2</v>
      </c>
      <c r="K28">
        <v>0</v>
      </c>
      <c r="L28">
        <v>0</v>
      </c>
      <c r="M28">
        <v>0</v>
      </c>
      <c r="N28" s="26">
        <v>1</v>
      </c>
    </row>
    <row r="29" spans="1:14">
      <c r="A29" t="s">
        <v>47</v>
      </c>
      <c r="B29" t="s">
        <v>260</v>
      </c>
      <c r="C29" s="15">
        <v>42202</v>
      </c>
      <c r="D29" s="24" t="s">
        <v>1311</v>
      </c>
      <c r="E29" s="24" t="s">
        <v>230</v>
      </c>
      <c r="F29" s="24">
        <v>2413</v>
      </c>
      <c r="G29" s="1">
        <v>28</v>
      </c>
      <c r="H29">
        <v>1</v>
      </c>
      <c r="I29">
        <v>2</v>
      </c>
      <c r="J29">
        <v>2</v>
      </c>
      <c r="K29">
        <v>0</v>
      </c>
      <c r="L29">
        <v>0</v>
      </c>
      <c r="M29">
        <v>0</v>
      </c>
      <c r="N29" s="26">
        <v>1</v>
      </c>
    </row>
    <row r="30" spans="1:14">
      <c r="A30" t="s">
        <v>47</v>
      </c>
      <c r="B30" t="s">
        <v>260</v>
      </c>
      <c r="C30" s="15">
        <v>42202</v>
      </c>
      <c r="D30" s="24" t="s">
        <v>1312</v>
      </c>
      <c r="E30" s="24" t="s">
        <v>84</v>
      </c>
      <c r="F30" s="24">
        <v>2486</v>
      </c>
      <c r="G30" s="1">
        <v>29</v>
      </c>
      <c r="H30">
        <v>1</v>
      </c>
      <c r="I30">
        <v>1</v>
      </c>
      <c r="J30">
        <v>2</v>
      </c>
      <c r="K30">
        <v>0</v>
      </c>
      <c r="L30">
        <v>0</v>
      </c>
      <c r="M30">
        <v>0</v>
      </c>
      <c r="N30" s="26">
        <v>0</v>
      </c>
    </row>
    <row r="31" spans="1:14">
      <c r="A31" t="s">
        <v>47</v>
      </c>
      <c r="B31" t="s">
        <v>260</v>
      </c>
      <c r="C31" s="15">
        <v>42202</v>
      </c>
      <c r="D31" s="24" t="s">
        <v>1312</v>
      </c>
      <c r="E31" s="24" t="s">
        <v>230</v>
      </c>
      <c r="F31" s="24">
        <v>2486</v>
      </c>
      <c r="G31" s="1">
        <v>30</v>
      </c>
      <c r="H31">
        <v>1</v>
      </c>
      <c r="I31">
        <v>2</v>
      </c>
      <c r="J31">
        <v>2</v>
      </c>
      <c r="K31">
        <v>0</v>
      </c>
      <c r="L31">
        <v>0</v>
      </c>
      <c r="M31">
        <v>0</v>
      </c>
      <c r="N31" s="26">
        <v>1</v>
      </c>
    </row>
    <row r="32" spans="1:14">
      <c r="A32" t="s">
        <v>47</v>
      </c>
      <c r="B32" t="s">
        <v>260</v>
      </c>
      <c r="C32" s="15">
        <v>42202</v>
      </c>
      <c r="D32" s="24" t="s">
        <v>1313</v>
      </c>
      <c r="E32" s="24" t="s">
        <v>84</v>
      </c>
      <c r="F32" s="24">
        <v>1698</v>
      </c>
      <c r="G32" s="1">
        <v>31</v>
      </c>
      <c r="H32">
        <v>0</v>
      </c>
      <c r="I32">
        <v>1</v>
      </c>
      <c r="J32">
        <v>2</v>
      </c>
      <c r="K32">
        <v>0</v>
      </c>
      <c r="L32">
        <v>0</v>
      </c>
      <c r="M32">
        <v>0</v>
      </c>
      <c r="N32" s="26">
        <v>0</v>
      </c>
    </row>
    <row r="33" spans="1:14">
      <c r="A33" t="s">
        <v>47</v>
      </c>
      <c r="B33" t="s">
        <v>260</v>
      </c>
      <c r="C33" s="15">
        <v>42202</v>
      </c>
      <c r="D33" s="24" t="s">
        <v>1313</v>
      </c>
      <c r="E33" s="24" t="s">
        <v>230</v>
      </c>
      <c r="F33" s="24">
        <v>1698</v>
      </c>
      <c r="G33" s="1">
        <v>32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 s="26">
        <v>0</v>
      </c>
    </row>
    <row r="34" spans="1:14">
      <c r="A34" t="s">
        <v>47</v>
      </c>
      <c r="B34" t="s">
        <v>260</v>
      </c>
      <c r="C34" s="15">
        <v>42202</v>
      </c>
      <c r="D34" s="24" t="s">
        <v>1314</v>
      </c>
      <c r="E34" s="24" t="s">
        <v>84</v>
      </c>
      <c r="F34" s="24">
        <v>1682</v>
      </c>
      <c r="G34" s="1">
        <v>33</v>
      </c>
      <c r="H34">
        <v>1</v>
      </c>
      <c r="I34">
        <v>1</v>
      </c>
      <c r="J34">
        <v>2</v>
      </c>
      <c r="K34">
        <v>0</v>
      </c>
      <c r="L34">
        <v>0</v>
      </c>
      <c r="M34">
        <v>0</v>
      </c>
      <c r="N34" s="26">
        <v>0</v>
      </c>
    </row>
    <row r="35" spans="1:14">
      <c r="A35" t="s">
        <v>47</v>
      </c>
      <c r="B35" t="s">
        <v>260</v>
      </c>
      <c r="C35" s="15">
        <v>42202</v>
      </c>
      <c r="D35" s="24" t="s">
        <v>1314</v>
      </c>
      <c r="E35" s="24" t="s">
        <v>230</v>
      </c>
      <c r="F35" s="24">
        <v>1682</v>
      </c>
      <c r="G35" s="1">
        <v>34</v>
      </c>
      <c r="H35">
        <v>0</v>
      </c>
      <c r="I35">
        <v>2</v>
      </c>
      <c r="J35">
        <v>2</v>
      </c>
      <c r="K35">
        <v>0</v>
      </c>
      <c r="L35">
        <v>0</v>
      </c>
      <c r="M35">
        <v>0</v>
      </c>
      <c r="N35" s="26">
        <v>1</v>
      </c>
    </row>
    <row r="36" spans="1:14">
      <c r="A36" t="s">
        <v>47</v>
      </c>
      <c r="B36" t="s">
        <v>260</v>
      </c>
      <c r="C36" s="15">
        <v>42202</v>
      </c>
      <c r="D36" s="24" t="s">
        <v>1315</v>
      </c>
      <c r="E36" s="24" t="s">
        <v>84</v>
      </c>
      <c r="F36" s="24">
        <v>1663</v>
      </c>
      <c r="G36" s="1">
        <v>35</v>
      </c>
      <c r="H36">
        <v>1</v>
      </c>
      <c r="I36">
        <v>2</v>
      </c>
      <c r="J36">
        <v>2</v>
      </c>
      <c r="K36">
        <v>0</v>
      </c>
      <c r="L36">
        <v>0</v>
      </c>
      <c r="M36">
        <v>0</v>
      </c>
      <c r="N36" s="26">
        <v>0</v>
      </c>
    </row>
    <row r="37" spans="1:14">
      <c r="A37" t="s">
        <v>47</v>
      </c>
      <c r="B37" t="s">
        <v>260</v>
      </c>
      <c r="C37" s="15">
        <v>42202</v>
      </c>
      <c r="D37" s="24" t="s">
        <v>1315</v>
      </c>
      <c r="E37" s="24" t="s">
        <v>230</v>
      </c>
      <c r="F37" s="24">
        <v>1663</v>
      </c>
      <c r="G37" s="1">
        <v>36</v>
      </c>
      <c r="H37">
        <v>0</v>
      </c>
      <c r="I37">
        <v>1</v>
      </c>
      <c r="J37">
        <v>2</v>
      </c>
      <c r="K37">
        <v>0</v>
      </c>
      <c r="L37">
        <v>0</v>
      </c>
      <c r="M37">
        <v>0</v>
      </c>
      <c r="N37" s="26">
        <v>1</v>
      </c>
    </row>
    <row r="38" spans="1:14">
      <c r="A38" t="s">
        <v>47</v>
      </c>
      <c r="B38" t="s">
        <v>260</v>
      </c>
      <c r="C38" s="15">
        <v>42202</v>
      </c>
      <c r="D38" s="24" t="s">
        <v>1316</v>
      </c>
      <c r="E38" s="24" t="s">
        <v>84</v>
      </c>
      <c r="F38" s="24">
        <v>1829</v>
      </c>
      <c r="G38" s="1">
        <v>37</v>
      </c>
      <c r="H38">
        <v>1</v>
      </c>
      <c r="I38">
        <v>1</v>
      </c>
      <c r="J38">
        <v>2</v>
      </c>
      <c r="K38">
        <v>0</v>
      </c>
      <c r="L38">
        <v>0</v>
      </c>
      <c r="M38">
        <v>0</v>
      </c>
      <c r="N38" s="26">
        <v>0</v>
      </c>
    </row>
    <row r="39" spans="1:14">
      <c r="A39" t="s">
        <v>47</v>
      </c>
      <c r="B39" t="s">
        <v>260</v>
      </c>
      <c r="C39" s="15">
        <v>42202</v>
      </c>
      <c r="D39" s="24" t="s">
        <v>1316</v>
      </c>
      <c r="E39" s="24" t="s">
        <v>230</v>
      </c>
      <c r="F39" s="24">
        <v>1829</v>
      </c>
      <c r="G39" s="1">
        <v>38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 s="26">
        <v>0</v>
      </c>
    </row>
    <row r="40" spans="1:14">
      <c r="A40" t="s">
        <v>47</v>
      </c>
      <c r="B40" t="s">
        <v>260</v>
      </c>
      <c r="C40" s="15">
        <v>42202</v>
      </c>
      <c r="D40" s="24" t="s">
        <v>1317</v>
      </c>
      <c r="E40" s="24" t="s">
        <v>84</v>
      </c>
      <c r="F40" s="24">
        <v>1851</v>
      </c>
      <c r="G40" s="1">
        <v>39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 s="26">
        <v>1</v>
      </c>
    </row>
    <row r="41" spans="1:14">
      <c r="A41" t="s">
        <v>47</v>
      </c>
      <c r="B41" t="s">
        <v>260</v>
      </c>
      <c r="C41" s="15">
        <v>42202</v>
      </c>
      <c r="D41" s="24" t="s">
        <v>1317</v>
      </c>
      <c r="E41" s="25" t="s">
        <v>230</v>
      </c>
      <c r="F41" s="24">
        <v>1851</v>
      </c>
      <c r="G41" s="1">
        <v>40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 s="26">
        <v>1</v>
      </c>
    </row>
    <row r="42" spans="1:14">
      <c r="A42" t="s">
        <v>47</v>
      </c>
      <c r="B42" t="s">
        <v>260</v>
      </c>
      <c r="C42" s="15">
        <v>42202</v>
      </c>
      <c r="D42" s="24" t="s">
        <v>1318</v>
      </c>
      <c r="E42" s="24" t="s">
        <v>84</v>
      </c>
      <c r="F42" s="24">
        <v>1842</v>
      </c>
      <c r="G42" s="1">
        <v>41</v>
      </c>
      <c r="H42">
        <v>1</v>
      </c>
      <c r="I42">
        <v>1</v>
      </c>
      <c r="J42">
        <v>2</v>
      </c>
      <c r="K42">
        <v>0</v>
      </c>
      <c r="L42">
        <v>0</v>
      </c>
      <c r="M42">
        <v>0</v>
      </c>
      <c r="N42" s="26">
        <v>1</v>
      </c>
    </row>
    <row r="43" spans="1:14">
      <c r="A43" t="s">
        <v>47</v>
      </c>
      <c r="B43" t="s">
        <v>260</v>
      </c>
      <c r="C43" s="15">
        <v>42202</v>
      </c>
      <c r="D43" s="24" t="s">
        <v>1318</v>
      </c>
      <c r="E43" s="24" t="s">
        <v>230</v>
      </c>
      <c r="F43" s="24">
        <v>1842</v>
      </c>
      <c r="G43" s="1">
        <v>42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 s="26">
        <v>1</v>
      </c>
    </row>
    <row r="44" spans="1:14">
      <c r="A44" t="s">
        <v>47</v>
      </c>
      <c r="B44" t="s">
        <v>260</v>
      </c>
      <c r="C44" s="15">
        <v>42202</v>
      </c>
      <c r="D44" s="24" t="s">
        <v>1319</v>
      </c>
      <c r="E44" s="24" t="s">
        <v>84</v>
      </c>
      <c r="F44" s="24">
        <v>1842</v>
      </c>
      <c r="G44" s="1">
        <v>43</v>
      </c>
      <c r="H44">
        <v>1</v>
      </c>
      <c r="I44">
        <v>1</v>
      </c>
      <c r="J44">
        <v>2</v>
      </c>
      <c r="K44">
        <v>0</v>
      </c>
      <c r="L44">
        <v>0</v>
      </c>
      <c r="M44">
        <v>0</v>
      </c>
      <c r="N44" s="26">
        <v>1</v>
      </c>
    </row>
    <row r="45" spans="1:14">
      <c r="A45" t="s">
        <v>47</v>
      </c>
      <c r="B45" t="s">
        <v>260</v>
      </c>
      <c r="C45" s="15">
        <v>42202</v>
      </c>
      <c r="D45" s="24" t="s">
        <v>1319</v>
      </c>
      <c r="E45" s="24" t="s">
        <v>230</v>
      </c>
      <c r="F45" s="24">
        <v>1842</v>
      </c>
      <c r="G45" s="1">
        <v>44</v>
      </c>
      <c r="H45">
        <v>0</v>
      </c>
      <c r="I45">
        <v>1</v>
      </c>
      <c r="J45">
        <v>2</v>
      </c>
      <c r="K45">
        <v>0</v>
      </c>
      <c r="L45">
        <v>0</v>
      </c>
      <c r="M45">
        <v>0</v>
      </c>
      <c r="N45" s="26">
        <v>1</v>
      </c>
    </row>
    <row r="46" spans="1:14">
      <c r="A46" t="s">
        <v>47</v>
      </c>
      <c r="B46" t="s">
        <v>260</v>
      </c>
      <c r="C46" s="15">
        <v>42202</v>
      </c>
      <c r="D46" s="24" t="s">
        <v>1320</v>
      </c>
      <c r="E46" s="24" t="s">
        <v>84</v>
      </c>
      <c r="F46" s="24">
        <v>2003</v>
      </c>
      <c r="G46" s="1">
        <v>45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 s="26">
        <v>1</v>
      </c>
    </row>
    <row r="47" spans="1:14">
      <c r="A47" t="s">
        <v>47</v>
      </c>
      <c r="B47" t="s">
        <v>260</v>
      </c>
      <c r="C47" s="15">
        <v>42202</v>
      </c>
      <c r="D47" s="24" t="s">
        <v>1320</v>
      </c>
      <c r="E47" s="24" t="s">
        <v>230</v>
      </c>
      <c r="F47" s="24">
        <v>2003</v>
      </c>
      <c r="G47" s="1">
        <v>46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 s="26">
        <v>1</v>
      </c>
    </row>
    <row r="48" spans="1:14">
      <c r="A48" t="s">
        <v>47</v>
      </c>
      <c r="B48" t="s">
        <v>260</v>
      </c>
      <c r="C48" s="15">
        <v>42202</v>
      </c>
      <c r="D48" s="24" t="s">
        <v>1321</v>
      </c>
      <c r="E48" s="24" t="s">
        <v>84</v>
      </c>
      <c r="F48" s="24">
        <v>1905</v>
      </c>
      <c r="G48" s="1">
        <v>47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 s="26">
        <v>0</v>
      </c>
    </row>
    <row r="49" spans="1:14">
      <c r="A49" t="s">
        <v>47</v>
      </c>
      <c r="B49" t="s">
        <v>260</v>
      </c>
      <c r="C49" s="15">
        <v>42202</v>
      </c>
      <c r="D49" s="24" t="s">
        <v>1321</v>
      </c>
      <c r="E49" s="24" t="s">
        <v>230</v>
      </c>
      <c r="F49" s="24">
        <v>1905</v>
      </c>
      <c r="G49" s="1">
        <v>48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 s="26">
        <v>1</v>
      </c>
    </row>
    <row r="50" spans="1:14">
      <c r="A50" t="s">
        <v>47</v>
      </c>
      <c r="B50" t="s">
        <v>260</v>
      </c>
      <c r="C50" s="15">
        <v>42202</v>
      </c>
      <c r="D50" s="24" t="s">
        <v>1322</v>
      </c>
      <c r="E50" s="24" t="s">
        <v>84</v>
      </c>
      <c r="F50" s="24">
        <v>1868</v>
      </c>
      <c r="G50" s="1">
        <v>49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 s="26">
        <v>1</v>
      </c>
    </row>
    <row r="51" spans="1:14">
      <c r="A51" t="s">
        <v>47</v>
      </c>
      <c r="B51" t="s">
        <v>260</v>
      </c>
      <c r="C51" s="15">
        <v>42202</v>
      </c>
      <c r="D51" s="24" t="s">
        <v>1322</v>
      </c>
      <c r="E51" s="24" t="s">
        <v>230</v>
      </c>
      <c r="F51" s="24">
        <v>1868</v>
      </c>
      <c r="G51" s="1">
        <v>50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 s="26">
        <v>1</v>
      </c>
    </row>
    <row r="52" spans="1:14">
      <c r="A52" t="s">
        <v>47</v>
      </c>
      <c r="B52" t="s">
        <v>260</v>
      </c>
      <c r="C52" s="15">
        <v>42202</v>
      </c>
      <c r="D52" s="24" t="s">
        <v>1323</v>
      </c>
      <c r="E52" s="24" t="s">
        <v>84</v>
      </c>
      <c r="F52" s="24">
        <v>1868</v>
      </c>
      <c r="G52" s="1">
        <v>51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 s="26">
        <v>1</v>
      </c>
    </row>
    <row r="53" spans="1:14">
      <c r="A53" t="s">
        <v>47</v>
      </c>
      <c r="B53" t="s">
        <v>260</v>
      </c>
      <c r="C53" s="15">
        <v>42202</v>
      </c>
      <c r="D53" s="24" t="s">
        <v>1323</v>
      </c>
      <c r="E53" s="24" t="s">
        <v>230</v>
      </c>
      <c r="F53" s="24">
        <v>1868</v>
      </c>
      <c r="G53" s="1">
        <v>52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 s="26">
        <v>1</v>
      </c>
    </row>
    <row r="54" spans="1:14">
      <c r="A54" t="s">
        <v>47</v>
      </c>
      <c r="B54" t="s">
        <v>260</v>
      </c>
      <c r="C54" s="15">
        <v>42202</v>
      </c>
      <c r="D54" s="24" t="s">
        <v>1324</v>
      </c>
      <c r="E54" s="24" t="s">
        <v>84</v>
      </c>
      <c r="F54" s="24">
        <v>1897</v>
      </c>
      <c r="G54" s="1">
        <v>53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 s="26">
        <v>0</v>
      </c>
    </row>
    <row r="55" spans="1:14">
      <c r="A55" t="s">
        <v>47</v>
      </c>
      <c r="B55" t="s">
        <v>260</v>
      </c>
      <c r="C55" s="15">
        <v>42202</v>
      </c>
      <c r="D55" s="24" t="s">
        <v>1324</v>
      </c>
      <c r="E55" s="24" t="s">
        <v>230</v>
      </c>
      <c r="F55" s="24">
        <v>1897</v>
      </c>
      <c r="G55" s="1">
        <v>54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 s="26">
        <v>0</v>
      </c>
    </row>
    <row r="56" spans="1:14">
      <c r="A56" t="s">
        <v>47</v>
      </c>
      <c r="B56" t="s">
        <v>260</v>
      </c>
      <c r="C56" s="15">
        <v>42202</v>
      </c>
      <c r="D56" s="24" t="s">
        <v>1325</v>
      </c>
      <c r="E56" s="24" t="s">
        <v>84</v>
      </c>
      <c r="F56" s="24">
        <v>2037</v>
      </c>
      <c r="G56" s="1">
        <v>55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 s="26">
        <v>1</v>
      </c>
    </row>
    <row r="57" spans="1:14">
      <c r="A57" t="s">
        <v>47</v>
      </c>
      <c r="B57" t="s">
        <v>260</v>
      </c>
      <c r="C57" s="15">
        <v>42202</v>
      </c>
      <c r="D57" s="24" t="s">
        <v>1325</v>
      </c>
      <c r="E57" s="24" t="s">
        <v>230</v>
      </c>
      <c r="F57" s="24">
        <v>2037</v>
      </c>
      <c r="G57" s="1">
        <v>56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 s="26">
        <v>0</v>
      </c>
    </row>
    <row r="58" spans="1:14">
      <c r="A58" t="s">
        <v>47</v>
      </c>
      <c r="B58" t="s">
        <v>260</v>
      </c>
      <c r="C58" s="15">
        <v>42202</v>
      </c>
      <c r="D58" s="24" t="s">
        <v>1326</v>
      </c>
      <c r="E58" s="24" t="s">
        <v>84</v>
      </c>
      <c r="F58" s="24">
        <v>2063</v>
      </c>
      <c r="G58" s="1">
        <v>57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 s="26">
        <v>1</v>
      </c>
    </row>
    <row r="59" spans="1:14">
      <c r="A59" t="s">
        <v>47</v>
      </c>
      <c r="B59" t="s">
        <v>260</v>
      </c>
      <c r="C59" s="15">
        <v>42202</v>
      </c>
      <c r="D59" s="24" t="s">
        <v>1326</v>
      </c>
      <c r="E59" s="24" t="s">
        <v>230</v>
      </c>
      <c r="F59" s="24">
        <v>2063</v>
      </c>
      <c r="G59" s="1">
        <v>58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 s="26">
        <v>0</v>
      </c>
    </row>
    <row r="60" spans="1:14">
      <c r="A60" t="s">
        <v>47</v>
      </c>
      <c r="B60" t="s">
        <v>260</v>
      </c>
      <c r="C60" s="15">
        <v>42202</v>
      </c>
      <c r="D60" s="24" t="s">
        <v>1327</v>
      </c>
      <c r="E60" s="24" t="s">
        <v>84</v>
      </c>
      <c r="F60" s="24">
        <v>2057</v>
      </c>
      <c r="G60" s="1">
        <v>59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 s="26">
        <v>1</v>
      </c>
    </row>
    <row r="61" spans="1:14">
      <c r="A61" t="s">
        <v>47</v>
      </c>
      <c r="B61" t="s">
        <v>260</v>
      </c>
      <c r="C61" s="15">
        <v>42202</v>
      </c>
      <c r="D61" s="24" t="s">
        <v>1327</v>
      </c>
      <c r="E61" s="24" t="s">
        <v>230</v>
      </c>
      <c r="F61" s="24">
        <v>2057</v>
      </c>
      <c r="G61" s="1">
        <v>60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 s="26">
        <v>1</v>
      </c>
    </row>
    <row r="62" spans="1:14">
      <c r="A62" t="s">
        <v>47</v>
      </c>
      <c r="B62" t="s">
        <v>260</v>
      </c>
      <c r="C62" s="15">
        <v>42202</v>
      </c>
      <c r="D62" s="24" t="s">
        <v>1328</v>
      </c>
      <c r="E62" s="24" t="s">
        <v>84</v>
      </c>
      <c r="F62" s="24">
        <v>2149</v>
      </c>
      <c r="G62" s="1">
        <v>61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 s="26">
        <v>0</v>
      </c>
    </row>
    <row r="63" spans="1:14">
      <c r="A63" t="s">
        <v>47</v>
      </c>
      <c r="B63" t="s">
        <v>260</v>
      </c>
      <c r="C63" s="15">
        <v>42202</v>
      </c>
      <c r="D63" s="24" t="s">
        <v>1328</v>
      </c>
      <c r="E63" s="25" t="s">
        <v>230</v>
      </c>
      <c r="F63" s="24">
        <v>2149</v>
      </c>
      <c r="G63" s="1">
        <v>62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 s="26">
        <v>0</v>
      </c>
    </row>
    <row r="64" spans="1:14">
      <c r="A64" t="s">
        <v>47</v>
      </c>
      <c r="B64" t="s">
        <v>260</v>
      </c>
      <c r="C64" s="15">
        <v>42202</v>
      </c>
      <c r="D64" s="24" t="s">
        <v>1329</v>
      </c>
      <c r="E64" s="24" t="s">
        <v>84</v>
      </c>
      <c r="F64" s="24">
        <v>2331</v>
      </c>
      <c r="G64" s="1">
        <v>63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 s="26">
        <v>0</v>
      </c>
    </row>
    <row r="65" spans="1:14">
      <c r="A65" t="s">
        <v>47</v>
      </c>
      <c r="B65" t="s">
        <v>260</v>
      </c>
      <c r="C65" s="15">
        <v>42202</v>
      </c>
      <c r="D65" s="24" t="s">
        <v>1329</v>
      </c>
      <c r="E65" s="24" t="s">
        <v>230</v>
      </c>
      <c r="F65" s="24">
        <v>2331</v>
      </c>
      <c r="G65" s="1">
        <v>64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 s="26">
        <v>1</v>
      </c>
    </row>
    <row r="66" spans="1:14">
      <c r="A66" t="s">
        <v>47</v>
      </c>
      <c r="B66" t="s">
        <v>260</v>
      </c>
      <c r="C66" s="15">
        <v>42202</v>
      </c>
      <c r="D66" s="24" t="s">
        <v>1330</v>
      </c>
      <c r="E66" s="24" t="s">
        <v>84</v>
      </c>
      <c r="F66" s="24">
        <v>1739</v>
      </c>
      <c r="G66" s="1">
        <v>65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 s="26">
        <v>0</v>
      </c>
    </row>
    <row r="67" spans="1:14">
      <c r="A67" t="s">
        <v>47</v>
      </c>
      <c r="B67" t="s">
        <v>260</v>
      </c>
      <c r="C67" s="15">
        <v>42202</v>
      </c>
      <c r="D67" s="24" t="s">
        <v>1330</v>
      </c>
      <c r="E67" s="24" t="s">
        <v>230</v>
      </c>
      <c r="F67" s="24">
        <v>1739</v>
      </c>
      <c r="G67" s="1">
        <v>66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 s="26">
        <v>0</v>
      </c>
    </row>
    <row r="68" spans="1:14">
      <c r="A68" t="s">
        <v>47</v>
      </c>
      <c r="B68" t="s">
        <v>260</v>
      </c>
      <c r="C68" s="15">
        <v>42202</v>
      </c>
      <c r="D68" s="24" t="s">
        <v>1331</v>
      </c>
      <c r="E68" s="24" t="s">
        <v>84</v>
      </c>
      <c r="F68" s="24">
        <v>2355</v>
      </c>
      <c r="G68" s="1">
        <v>67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 s="26">
        <v>1</v>
      </c>
    </row>
    <row r="69" spans="1:14">
      <c r="A69" t="s">
        <v>47</v>
      </c>
      <c r="B69" t="s">
        <v>260</v>
      </c>
      <c r="C69" s="15">
        <v>42202</v>
      </c>
      <c r="D69" s="24" t="s">
        <v>1331</v>
      </c>
      <c r="E69" s="24" t="s">
        <v>230</v>
      </c>
      <c r="F69" s="24">
        <v>2355</v>
      </c>
      <c r="G69" s="1">
        <v>68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 s="26">
        <v>0</v>
      </c>
    </row>
    <row r="70" spans="1:14">
      <c r="A70" t="s">
        <v>47</v>
      </c>
      <c r="B70" t="s">
        <v>260</v>
      </c>
      <c r="C70" s="15">
        <v>42202</v>
      </c>
      <c r="D70" s="24" t="s">
        <v>1332</v>
      </c>
      <c r="E70" s="24" t="s">
        <v>84</v>
      </c>
      <c r="F70" s="24">
        <v>2244</v>
      </c>
      <c r="G70" s="1">
        <v>69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 s="26">
        <v>1</v>
      </c>
    </row>
    <row r="71" spans="1:14">
      <c r="A71" t="s">
        <v>47</v>
      </c>
      <c r="B71" t="s">
        <v>260</v>
      </c>
      <c r="C71" s="15">
        <v>42202</v>
      </c>
      <c r="D71" s="24" t="s">
        <v>1332</v>
      </c>
      <c r="E71" s="24" t="s">
        <v>230</v>
      </c>
      <c r="F71" s="24">
        <v>2244</v>
      </c>
      <c r="G71" s="1">
        <v>70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 s="26">
        <v>0</v>
      </c>
    </row>
    <row r="72" spans="1:14">
      <c r="A72" t="s">
        <v>47</v>
      </c>
      <c r="B72" t="s">
        <v>260</v>
      </c>
      <c r="C72" s="15">
        <v>42202</v>
      </c>
      <c r="D72" s="24" t="s">
        <v>1333</v>
      </c>
      <c r="E72" s="24" t="s">
        <v>84</v>
      </c>
      <c r="F72" s="24">
        <v>2294</v>
      </c>
      <c r="G72" s="1">
        <v>71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 s="26">
        <v>0</v>
      </c>
    </row>
    <row r="73" spans="1:14">
      <c r="A73" t="s">
        <v>47</v>
      </c>
      <c r="B73" t="s">
        <v>260</v>
      </c>
      <c r="C73" s="15">
        <v>42202</v>
      </c>
      <c r="D73" s="24" t="s">
        <v>1333</v>
      </c>
      <c r="E73" s="24" t="s">
        <v>230</v>
      </c>
      <c r="F73" s="24">
        <v>2294</v>
      </c>
      <c r="G73" s="1">
        <v>72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 s="26">
        <v>0</v>
      </c>
    </row>
    <row r="74" spans="1:14">
      <c r="A74" t="s">
        <v>47</v>
      </c>
      <c r="B74" t="s">
        <v>260</v>
      </c>
      <c r="C74" s="15">
        <v>42202</v>
      </c>
      <c r="D74" s="24" t="s">
        <v>1334</v>
      </c>
      <c r="E74" s="24" t="s">
        <v>84</v>
      </c>
      <c r="F74" s="24">
        <v>2077</v>
      </c>
      <c r="G74" s="1">
        <v>73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 s="26">
        <v>0</v>
      </c>
    </row>
    <row r="75" spans="1:14">
      <c r="A75" t="s">
        <v>47</v>
      </c>
      <c r="B75" t="s">
        <v>260</v>
      </c>
      <c r="C75" s="15">
        <v>42202</v>
      </c>
      <c r="D75" s="24" t="s">
        <v>1334</v>
      </c>
      <c r="E75" s="24" t="s">
        <v>230</v>
      </c>
      <c r="F75" s="24">
        <v>2077</v>
      </c>
      <c r="G75" s="1">
        <v>74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 s="26">
        <v>1</v>
      </c>
    </row>
    <row r="76" spans="1:14">
      <c r="A76" t="s">
        <v>47</v>
      </c>
      <c r="B76" t="s">
        <v>260</v>
      </c>
      <c r="C76" s="15">
        <v>42202</v>
      </c>
      <c r="D76" s="24" t="s">
        <v>1335</v>
      </c>
      <c r="E76" s="24" t="s">
        <v>84</v>
      </c>
      <c r="F76" s="24">
        <v>2295</v>
      </c>
      <c r="G76" s="1">
        <v>75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 s="26">
        <v>1</v>
      </c>
    </row>
    <row r="77" spans="1:14">
      <c r="A77" t="s">
        <v>47</v>
      </c>
      <c r="B77" t="s">
        <v>260</v>
      </c>
      <c r="C77" s="15">
        <v>42202</v>
      </c>
      <c r="D77" s="24" t="s">
        <v>1335</v>
      </c>
      <c r="E77" s="24" t="s">
        <v>230</v>
      </c>
      <c r="F77" s="24">
        <v>2295</v>
      </c>
      <c r="G77" s="1">
        <v>76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 s="26">
        <v>0</v>
      </c>
    </row>
    <row r="78" spans="1:14">
      <c r="A78" t="s">
        <v>47</v>
      </c>
      <c r="B78" t="s">
        <v>260</v>
      </c>
      <c r="C78" s="15">
        <v>42202</v>
      </c>
      <c r="D78" s="24" t="s">
        <v>1336</v>
      </c>
      <c r="E78" s="24" t="s">
        <v>84</v>
      </c>
      <c r="F78" s="24">
        <v>2219</v>
      </c>
      <c r="G78" s="1">
        <v>77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 s="26">
        <v>1</v>
      </c>
    </row>
    <row r="79" spans="1:14">
      <c r="A79" t="s">
        <v>47</v>
      </c>
      <c r="B79" t="s">
        <v>260</v>
      </c>
      <c r="C79" s="15">
        <v>42202</v>
      </c>
      <c r="D79" s="24" t="s">
        <v>1336</v>
      </c>
      <c r="E79" s="24" t="s">
        <v>230</v>
      </c>
      <c r="F79" s="24">
        <v>2219</v>
      </c>
      <c r="G79" s="1">
        <v>78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 s="26">
        <v>0</v>
      </c>
    </row>
    <row r="80" spans="1:14">
      <c r="A80" t="s">
        <v>47</v>
      </c>
      <c r="B80" t="s">
        <v>260</v>
      </c>
      <c r="C80" s="15">
        <v>42202</v>
      </c>
      <c r="D80" s="24" t="s">
        <v>1337</v>
      </c>
      <c r="E80" s="24" t="s">
        <v>84</v>
      </c>
      <c r="F80" s="24">
        <v>2244</v>
      </c>
      <c r="G80" s="1">
        <v>79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 s="26">
        <v>0</v>
      </c>
    </row>
    <row r="81" spans="1:14">
      <c r="A81" t="s">
        <v>47</v>
      </c>
      <c r="B81" t="s">
        <v>260</v>
      </c>
      <c r="C81" s="15">
        <v>42202</v>
      </c>
      <c r="D81" s="24" t="s">
        <v>1337</v>
      </c>
      <c r="E81" s="24" t="s">
        <v>230</v>
      </c>
      <c r="F81" s="24">
        <v>2244</v>
      </c>
      <c r="G81" s="1">
        <v>80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 s="26">
        <v>0</v>
      </c>
    </row>
    <row r="82" spans="1:14">
      <c r="A82" t="s">
        <v>47</v>
      </c>
      <c r="B82" t="s">
        <v>260</v>
      </c>
      <c r="C82" s="15">
        <v>42202</v>
      </c>
      <c r="D82" s="24" t="s">
        <v>1338</v>
      </c>
      <c r="E82" s="24" t="s">
        <v>84</v>
      </c>
      <c r="F82" s="24">
        <v>2217</v>
      </c>
      <c r="G82" s="1">
        <v>81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 s="26">
        <v>1</v>
      </c>
    </row>
    <row r="83" spans="1:14">
      <c r="A83" t="s">
        <v>47</v>
      </c>
      <c r="B83" t="s">
        <v>260</v>
      </c>
      <c r="C83" s="15">
        <v>42202</v>
      </c>
      <c r="D83" s="24" t="s">
        <v>1338</v>
      </c>
      <c r="E83" s="24" t="s">
        <v>230</v>
      </c>
      <c r="F83" s="24">
        <v>2217</v>
      </c>
      <c r="G83" s="1">
        <v>82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26">
        <v>1</v>
      </c>
    </row>
    <row r="84" spans="1:14">
      <c r="A84" t="s">
        <v>47</v>
      </c>
      <c r="B84" t="s">
        <v>260</v>
      </c>
      <c r="C84" s="15">
        <v>42202</v>
      </c>
      <c r="D84" s="24" t="s">
        <v>1339</v>
      </c>
      <c r="E84" s="24" t="s">
        <v>84</v>
      </c>
      <c r="F84" s="24">
        <v>2007</v>
      </c>
      <c r="G84" s="1">
        <v>83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26">
        <v>1</v>
      </c>
    </row>
    <row r="85" spans="1:14">
      <c r="A85" t="s">
        <v>47</v>
      </c>
      <c r="B85" t="s">
        <v>260</v>
      </c>
      <c r="C85" s="15">
        <v>42202</v>
      </c>
      <c r="D85" s="24" t="s">
        <v>1339</v>
      </c>
      <c r="E85" s="25" t="s">
        <v>230</v>
      </c>
      <c r="F85" s="24">
        <v>2007</v>
      </c>
      <c r="G85" s="1">
        <v>84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26">
        <v>0</v>
      </c>
    </row>
    <row r="86" spans="1:14">
      <c r="A86" t="s">
        <v>47</v>
      </c>
      <c r="B86" t="s">
        <v>260</v>
      </c>
      <c r="C86" s="15">
        <v>42202</v>
      </c>
      <c r="D86" s="24" t="s">
        <v>1340</v>
      </c>
      <c r="E86" s="24" t="s">
        <v>84</v>
      </c>
      <c r="F86" s="24">
        <v>2007</v>
      </c>
      <c r="G86" s="1">
        <v>85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 s="26">
        <v>1</v>
      </c>
    </row>
    <row r="87" spans="1:14">
      <c r="A87" t="s">
        <v>47</v>
      </c>
      <c r="B87" t="s">
        <v>260</v>
      </c>
      <c r="C87" s="15">
        <v>42202</v>
      </c>
      <c r="D87" s="24" t="s">
        <v>1340</v>
      </c>
      <c r="E87" s="24" t="s">
        <v>230</v>
      </c>
      <c r="F87" s="24">
        <v>2007</v>
      </c>
      <c r="G87" s="1">
        <v>86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 s="26">
        <v>0</v>
      </c>
    </row>
    <row r="88" spans="1:14">
      <c r="A88" t="s">
        <v>47</v>
      </c>
      <c r="B88" t="s">
        <v>260</v>
      </c>
      <c r="C88" s="15">
        <v>42202</v>
      </c>
      <c r="D88" s="24" t="s">
        <v>1341</v>
      </c>
      <c r="E88" s="24" t="s">
        <v>84</v>
      </c>
      <c r="F88" s="24">
        <v>2201</v>
      </c>
      <c r="G88" s="1">
        <v>87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 s="26">
        <v>0</v>
      </c>
    </row>
    <row r="89" spans="1:14">
      <c r="A89" t="s">
        <v>47</v>
      </c>
      <c r="B89" t="s">
        <v>260</v>
      </c>
      <c r="C89" s="15">
        <v>42202</v>
      </c>
      <c r="D89" s="24" t="s">
        <v>1341</v>
      </c>
      <c r="E89" s="24" t="s">
        <v>230</v>
      </c>
      <c r="F89" s="24">
        <v>2201</v>
      </c>
      <c r="G89" s="1">
        <v>88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 s="26">
        <v>0</v>
      </c>
    </row>
    <row r="90" spans="1:14">
      <c r="A90" t="s">
        <v>47</v>
      </c>
      <c r="B90" t="s">
        <v>260</v>
      </c>
      <c r="C90" s="15">
        <v>42202</v>
      </c>
      <c r="D90" s="24" t="s">
        <v>1342</v>
      </c>
      <c r="E90" s="24" t="s">
        <v>84</v>
      </c>
      <c r="F90" s="24">
        <v>2239</v>
      </c>
      <c r="G90" s="1">
        <v>89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 s="26">
        <v>1</v>
      </c>
    </row>
    <row r="91" spans="1:14">
      <c r="A91" t="s">
        <v>47</v>
      </c>
      <c r="B91" t="s">
        <v>260</v>
      </c>
      <c r="C91" s="15">
        <v>42202</v>
      </c>
      <c r="D91" s="24" t="s">
        <v>1342</v>
      </c>
      <c r="E91" s="24" t="s">
        <v>230</v>
      </c>
      <c r="F91" s="24">
        <v>2239</v>
      </c>
      <c r="G91" s="1">
        <v>90</v>
      </c>
      <c r="H91">
        <v>1</v>
      </c>
      <c r="I91">
        <v>1</v>
      </c>
      <c r="J91">
        <v>1</v>
      </c>
      <c r="K91">
        <v>0</v>
      </c>
      <c r="L91">
        <v>0</v>
      </c>
      <c r="M91">
        <v>0</v>
      </c>
      <c r="N91" s="26">
        <v>1</v>
      </c>
    </row>
    <row r="92" spans="1:14">
      <c r="A92" t="s">
        <v>47</v>
      </c>
      <c r="B92" t="s">
        <v>260</v>
      </c>
      <c r="C92" s="15">
        <v>42202</v>
      </c>
      <c r="D92" s="24" t="s">
        <v>1343</v>
      </c>
      <c r="E92" s="24" t="s">
        <v>84</v>
      </c>
      <c r="F92" s="24">
        <v>2348</v>
      </c>
      <c r="G92" s="1">
        <v>91</v>
      </c>
      <c r="H92">
        <v>1</v>
      </c>
      <c r="I92">
        <v>1</v>
      </c>
      <c r="J92">
        <v>1</v>
      </c>
      <c r="K92">
        <v>0</v>
      </c>
      <c r="L92">
        <v>0</v>
      </c>
      <c r="M92">
        <v>0</v>
      </c>
      <c r="N92" s="26">
        <v>1</v>
      </c>
    </row>
    <row r="93" spans="1:14">
      <c r="A93" t="s">
        <v>47</v>
      </c>
      <c r="B93" t="s">
        <v>260</v>
      </c>
      <c r="C93" s="15">
        <v>42202</v>
      </c>
      <c r="D93" s="24" t="s">
        <v>1343</v>
      </c>
      <c r="E93" s="24" t="s">
        <v>230</v>
      </c>
      <c r="F93" s="24">
        <v>2348</v>
      </c>
      <c r="G93" s="1">
        <v>92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 s="26">
        <v>1</v>
      </c>
    </row>
    <row r="94" spans="1:14">
      <c r="A94" t="s">
        <v>47</v>
      </c>
      <c r="B94" t="s">
        <v>260</v>
      </c>
      <c r="C94" s="15">
        <v>42202</v>
      </c>
      <c r="D94" s="24" t="s">
        <v>1344</v>
      </c>
      <c r="E94" s="24" t="s">
        <v>84</v>
      </c>
      <c r="F94" s="24">
        <v>2381</v>
      </c>
      <c r="G94" s="1">
        <v>93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 s="26">
        <v>1</v>
      </c>
    </row>
    <row r="95" spans="1:14">
      <c r="A95" t="s">
        <v>47</v>
      </c>
      <c r="B95" t="s">
        <v>260</v>
      </c>
      <c r="C95" s="15">
        <v>42202</v>
      </c>
      <c r="D95" s="24" t="s">
        <v>1344</v>
      </c>
      <c r="E95" s="24" t="s">
        <v>230</v>
      </c>
      <c r="F95" s="24">
        <v>2381</v>
      </c>
      <c r="G95" s="1">
        <v>94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 s="26">
        <v>1</v>
      </c>
    </row>
    <row r="96" spans="1:14">
      <c r="A96" t="s">
        <v>47</v>
      </c>
      <c r="B96" t="s">
        <v>260</v>
      </c>
      <c r="C96" s="15">
        <v>42202</v>
      </c>
      <c r="D96" s="24" t="s">
        <v>1345</v>
      </c>
      <c r="E96" s="24" t="s">
        <v>84</v>
      </c>
      <c r="F96" s="24">
        <v>2469</v>
      </c>
      <c r="G96" s="1">
        <v>95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 s="26">
        <v>1</v>
      </c>
    </row>
    <row r="97" spans="1:14">
      <c r="A97" t="s">
        <v>47</v>
      </c>
      <c r="B97" t="s">
        <v>260</v>
      </c>
      <c r="C97" s="15">
        <v>42202</v>
      </c>
      <c r="D97" s="24" t="s">
        <v>1345</v>
      </c>
      <c r="E97" s="24" t="s">
        <v>230</v>
      </c>
      <c r="F97" s="24">
        <v>2469</v>
      </c>
      <c r="G97" s="1">
        <v>96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 s="26">
        <v>1</v>
      </c>
    </row>
    <row r="98" spans="1:14">
      <c r="A98" t="s">
        <v>47</v>
      </c>
      <c r="B98" t="s">
        <v>260</v>
      </c>
      <c r="C98" s="15">
        <v>42202</v>
      </c>
      <c r="D98" s="24" t="s">
        <v>1346</v>
      </c>
      <c r="E98" s="24" t="s">
        <v>84</v>
      </c>
      <c r="F98" s="24">
        <v>2225</v>
      </c>
      <c r="G98" s="1">
        <v>97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 s="26">
        <v>1</v>
      </c>
    </row>
    <row r="99" spans="1:14">
      <c r="A99" t="s">
        <v>47</v>
      </c>
      <c r="B99" t="s">
        <v>260</v>
      </c>
      <c r="C99" s="15">
        <v>42202</v>
      </c>
      <c r="D99" s="24" t="s">
        <v>1346</v>
      </c>
      <c r="E99" s="24" t="s">
        <v>230</v>
      </c>
      <c r="F99" s="24">
        <v>2225</v>
      </c>
      <c r="G99" s="1">
        <v>98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 s="26">
        <v>0</v>
      </c>
    </row>
    <row r="100" spans="1:14">
      <c r="A100" t="s">
        <v>47</v>
      </c>
      <c r="B100" t="s">
        <v>260</v>
      </c>
      <c r="C100" s="15">
        <v>42202</v>
      </c>
      <c r="D100" s="24" t="s">
        <v>1347</v>
      </c>
      <c r="E100" s="24" t="s">
        <v>84</v>
      </c>
      <c r="F100" s="24">
        <v>2123</v>
      </c>
      <c r="G100" s="1">
        <v>99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</v>
      </c>
      <c r="N100" s="26">
        <v>1</v>
      </c>
    </row>
    <row r="101" spans="1:14">
      <c r="A101" t="s">
        <v>47</v>
      </c>
      <c r="B101" t="s">
        <v>260</v>
      </c>
      <c r="C101" s="15">
        <v>42202</v>
      </c>
      <c r="D101" s="24" t="s">
        <v>1347</v>
      </c>
      <c r="E101" s="24" t="s">
        <v>230</v>
      </c>
      <c r="F101" s="24">
        <v>2123</v>
      </c>
      <c r="G101" s="1">
        <v>100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 s="26">
        <v>1</v>
      </c>
    </row>
    <row r="102" spans="1:14">
      <c r="A102" t="s">
        <v>47</v>
      </c>
      <c r="B102" t="s">
        <v>260</v>
      </c>
      <c r="C102" s="15">
        <v>42202</v>
      </c>
      <c r="D102" s="24" t="s">
        <v>1348</v>
      </c>
      <c r="E102" s="24" t="s">
        <v>84</v>
      </c>
      <c r="F102" s="24">
        <v>2309</v>
      </c>
      <c r="G102" s="1">
        <v>101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 s="26">
        <v>0</v>
      </c>
    </row>
    <row r="103" spans="1:14">
      <c r="A103" t="s">
        <v>47</v>
      </c>
      <c r="B103" t="s">
        <v>260</v>
      </c>
      <c r="C103" s="15">
        <v>42202</v>
      </c>
      <c r="D103" s="24" t="s">
        <v>1348</v>
      </c>
      <c r="E103" s="24" t="s">
        <v>230</v>
      </c>
      <c r="F103" s="24">
        <v>2309</v>
      </c>
      <c r="G103" s="1">
        <v>102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 s="26">
        <v>1</v>
      </c>
    </row>
    <row r="104" spans="1:14">
      <c r="A104" t="s">
        <v>47</v>
      </c>
      <c r="B104" t="s">
        <v>260</v>
      </c>
      <c r="C104" s="15">
        <v>42202</v>
      </c>
      <c r="D104" s="24" t="s">
        <v>1349</v>
      </c>
      <c r="E104" s="24" t="s">
        <v>84</v>
      </c>
      <c r="F104" s="24">
        <v>2118</v>
      </c>
      <c r="G104" s="1">
        <v>103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 s="26">
        <v>1</v>
      </c>
    </row>
    <row r="105" spans="1:14">
      <c r="A105" t="s">
        <v>47</v>
      </c>
      <c r="B105" t="s">
        <v>260</v>
      </c>
      <c r="C105" s="15">
        <v>42202</v>
      </c>
      <c r="D105" s="24" t="s">
        <v>1349</v>
      </c>
      <c r="E105" s="24" t="s">
        <v>230</v>
      </c>
      <c r="F105" s="24">
        <v>2118</v>
      </c>
      <c r="G105" s="1">
        <v>104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 s="26">
        <v>1</v>
      </c>
    </row>
    <row r="106" spans="1:14">
      <c r="A106" t="s">
        <v>47</v>
      </c>
      <c r="B106" t="s">
        <v>260</v>
      </c>
      <c r="C106" s="15">
        <v>42202</v>
      </c>
      <c r="D106" s="24" t="s">
        <v>1350</v>
      </c>
      <c r="E106" s="24" t="s">
        <v>84</v>
      </c>
      <c r="F106" s="24">
        <v>2251</v>
      </c>
      <c r="G106" s="1">
        <v>105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 s="26">
        <v>0</v>
      </c>
    </row>
    <row r="107" spans="1:14">
      <c r="A107" t="s">
        <v>47</v>
      </c>
      <c r="B107" t="s">
        <v>260</v>
      </c>
      <c r="C107" s="15">
        <v>42202</v>
      </c>
      <c r="D107" s="24" t="s">
        <v>1350</v>
      </c>
      <c r="E107" s="25" t="s">
        <v>230</v>
      </c>
      <c r="F107" s="24">
        <v>2251</v>
      </c>
      <c r="G107" s="1">
        <v>106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 s="26">
        <v>1</v>
      </c>
    </row>
    <row r="108" spans="1:14">
      <c r="A108" t="s">
        <v>47</v>
      </c>
      <c r="B108" t="s">
        <v>260</v>
      </c>
      <c r="C108" s="15">
        <v>42202</v>
      </c>
      <c r="D108" s="24" t="s">
        <v>1351</v>
      </c>
      <c r="E108" s="24" t="s">
        <v>84</v>
      </c>
      <c r="F108" s="24">
        <v>2240</v>
      </c>
      <c r="G108" s="1">
        <v>107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 s="26">
        <v>0</v>
      </c>
    </row>
    <row r="109" spans="1:14">
      <c r="A109" t="s">
        <v>47</v>
      </c>
      <c r="B109" t="s">
        <v>260</v>
      </c>
      <c r="C109" s="15">
        <v>42202</v>
      </c>
      <c r="D109" s="24" t="s">
        <v>1351</v>
      </c>
      <c r="E109" s="24" t="s">
        <v>230</v>
      </c>
      <c r="F109" s="24">
        <v>2240</v>
      </c>
      <c r="G109" s="1">
        <v>108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 s="26">
        <v>1</v>
      </c>
    </row>
    <row r="110" spans="1:14">
      <c r="A110" t="s">
        <v>47</v>
      </c>
      <c r="B110" t="s">
        <v>260</v>
      </c>
      <c r="C110" s="15">
        <v>42202</v>
      </c>
      <c r="D110" s="24" t="s">
        <v>1352</v>
      </c>
      <c r="E110" s="24" t="s">
        <v>84</v>
      </c>
      <c r="F110" s="24">
        <v>2330</v>
      </c>
      <c r="G110" s="1">
        <v>109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 s="26">
        <v>0</v>
      </c>
    </row>
    <row r="111" spans="1:14">
      <c r="A111" t="s">
        <v>47</v>
      </c>
      <c r="B111" t="s">
        <v>260</v>
      </c>
      <c r="C111" s="15">
        <v>42202</v>
      </c>
      <c r="D111" s="24" t="s">
        <v>1352</v>
      </c>
      <c r="E111" s="24" t="s">
        <v>230</v>
      </c>
      <c r="F111" s="24">
        <v>2330</v>
      </c>
      <c r="G111" s="1">
        <v>110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 s="26">
        <v>0</v>
      </c>
    </row>
    <row r="112" spans="1:14">
      <c r="A112" t="s">
        <v>47</v>
      </c>
      <c r="B112" t="s">
        <v>260</v>
      </c>
      <c r="C112" s="15">
        <v>42202</v>
      </c>
      <c r="D112" s="24" t="s">
        <v>1353</v>
      </c>
      <c r="E112" s="24" t="s">
        <v>84</v>
      </c>
      <c r="F112" s="24">
        <v>2392</v>
      </c>
      <c r="G112" s="1">
        <v>111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 s="26">
        <v>0</v>
      </c>
    </row>
    <row r="113" spans="1:14">
      <c r="A113" t="s">
        <v>47</v>
      </c>
      <c r="B113" t="s">
        <v>260</v>
      </c>
      <c r="C113" s="15">
        <v>42202</v>
      </c>
      <c r="D113" s="24" t="s">
        <v>1353</v>
      </c>
      <c r="E113" s="24" t="s">
        <v>230</v>
      </c>
      <c r="F113" s="24">
        <v>2392</v>
      </c>
      <c r="G113" s="1">
        <v>112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 s="26">
        <v>0</v>
      </c>
    </row>
    <row r="114" spans="1:14">
      <c r="A114" t="s">
        <v>47</v>
      </c>
      <c r="B114" t="s">
        <v>260</v>
      </c>
      <c r="C114" s="15">
        <v>42202</v>
      </c>
      <c r="D114" s="24" t="s">
        <v>1354</v>
      </c>
      <c r="E114" s="24" t="s">
        <v>84</v>
      </c>
      <c r="F114" s="24">
        <v>2088</v>
      </c>
      <c r="G114" s="1">
        <v>113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 s="26">
        <v>1</v>
      </c>
    </row>
    <row r="115" spans="1:14">
      <c r="A115" t="s">
        <v>47</v>
      </c>
      <c r="B115" t="s">
        <v>260</v>
      </c>
      <c r="C115" s="15">
        <v>42202</v>
      </c>
      <c r="D115" s="24" t="s">
        <v>1354</v>
      </c>
      <c r="E115" s="24" t="s">
        <v>230</v>
      </c>
      <c r="F115" s="24">
        <v>2088</v>
      </c>
      <c r="G115" s="1">
        <v>114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 s="26">
        <v>1</v>
      </c>
    </row>
    <row r="116" spans="1:14">
      <c r="A116" t="s">
        <v>47</v>
      </c>
      <c r="B116" t="s">
        <v>260</v>
      </c>
      <c r="C116" s="15">
        <v>42202</v>
      </c>
      <c r="D116" s="24" t="s">
        <v>1355</v>
      </c>
      <c r="E116" s="24" t="s">
        <v>84</v>
      </c>
      <c r="F116" s="24">
        <v>2283</v>
      </c>
      <c r="G116" s="1">
        <v>115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 s="26">
        <v>1</v>
      </c>
    </row>
    <row r="117" spans="1:14">
      <c r="A117" t="s">
        <v>47</v>
      </c>
      <c r="B117" t="s">
        <v>260</v>
      </c>
      <c r="C117" s="15">
        <v>42202</v>
      </c>
      <c r="D117" s="24" t="s">
        <v>1355</v>
      </c>
      <c r="E117" s="24" t="s">
        <v>230</v>
      </c>
      <c r="F117" s="24">
        <v>2283</v>
      </c>
      <c r="G117" s="1">
        <v>116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26">
        <v>1</v>
      </c>
    </row>
    <row r="118" spans="1:14">
      <c r="A118" t="s">
        <v>47</v>
      </c>
      <c r="B118" t="s">
        <v>260</v>
      </c>
      <c r="C118" s="15">
        <v>42202</v>
      </c>
      <c r="D118" s="24" t="s">
        <v>1356</v>
      </c>
      <c r="E118" s="24" t="s">
        <v>84</v>
      </c>
      <c r="F118" s="24">
        <v>2315</v>
      </c>
      <c r="G118" s="1">
        <v>117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 s="26">
        <v>1</v>
      </c>
    </row>
    <row r="119" spans="1:14">
      <c r="A119" t="s">
        <v>47</v>
      </c>
      <c r="B119" t="s">
        <v>260</v>
      </c>
      <c r="C119" s="15">
        <v>42202</v>
      </c>
      <c r="D119" s="24" t="s">
        <v>1356</v>
      </c>
      <c r="E119" s="24" t="s">
        <v>230</v>
      </c>
      <c r="F119" s="24">
        <v>2315</v>
      </c>
      <c r="G119" s="1">
        <v>118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 s="26">
        <v>1</v>
      </c>
    </row>
    <row r="120" spans="1:14">
      <c r="A120" t="s">
        <v>47</v>
      </c>
      <c r="B120" t="s">
        <v>260</v>
      </c>
      <c r="C120" s="15">
        <v>42202</v>
      </c>
      <c r="D120" s="24" t="s">
        <v>1357</v>
      </c>
      <c r="E120" s="24" t="s">
        <v>84</v>
      </c>
      <c r="F120" s="24">
        <v>2242</v>
      </c>
      <c r="G120" s="1">
        <v>119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 s="26">
        <v>1</v>
      </c>
    </row>
    <row r="121" spans="1:14">
      <c r="A121" t="s">
        <v>47</v>
      </c>
      <c r="B121" t="s">
        <v>260</v>
      </c>
      <c r="C121" s="15">
        <v>42202</v>
      </c>
      <c r="D121" s="24" t="s">
        <v>1357</v>
      </c>
      <c r="E121" s="24" t="s">
        <v>230</v>
      </c>
      <c r="F121" s="24">
        <v>2242</v>
      </c>
      <c r="G121" s="1">
        <v>120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26">
        <v>1</v>
      </c>
    </row>
    <row r="122" spans="1:14">
      <c r="A122" t="s">
        <v>47</v>
      </c>
      <c r="B122" t="s">
        <v>260</v>
      </c>
      <c r="C122" s="15">
        <v>42202</v>
      </c>
      <c r="D122" s="24" t="s">
        <v>1358</v>
      </c>
      <c r="E122" s="24" t="s">
        <v>84</v>
      </c>
      <c r="F122" s="24">
        <v>2167</v>
      </c>
      <c r="G122" s="1">
        <v>121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 s="26">
        <v>1</v>
      </c>
    </row>
    <row r="123" spans="1:14">
      <c r="A123" t="s">
        <v>47</v>
      </c>
      <c r="B123" t="s">
        <v>260</v>
      </c>
      <c r="C123" s="15">
        <v>42202</v>
      </c>
      <c r="D123" s="25" t="s">
        <v>1358</v>
      </c>
      <c r="E123" s="24" t="s">
        <v>230</v>
      </c>
      <c r="F123" s="25">
        <v>2167</v>
      </c>
      <c r="G123" s="1">
        <v>122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 s="26">
        <v>1</v>
      </c>
    </row>
    <row r="124" spans="1:14">
      <c r="E124" s="24"/>
    </row>
    <row r="125" spans="1:14">
      <c r="E125" s="24"/>
    </row>
    <row r="126" spans="1:14">
      <c r="E126" s="24"/>
    </row>
    <row r="127" spans="1:14">
      <c r="E127" s="24"/>
    </row>
    <row r="128" spans="1:14">
      <c r="E128" s="24"/>
    </row>
    <row r="130" spans="5:5" customFormat="1">
      <c r="E130" s="24"/>
    </row>
    <row r="131" spans="5:5" customFormat="1">
      <c r="E131" s="24"/>
    </row>
    <row r="132" spans="5:5" customFormat="1">
      <c r="E132" s="24"/>
    </row>
    <row r="133" spans="5:5" customFormat="1">
      <c r="E133" s="24"/>
    </row>
  </sheetData>
  <sortState xmlns:xlrd2="http://schemas.microsoft.com/office/spreadsheetml/2017/richdata2" ref="A2:Q123">
    <sortCondition ref="G2:G123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workbookViewId="0">
      <pane xSplit="1" ySplit="1" topLeftCell="B17" activePane="bottomRight" state="frozen"/>
      <selection pane="bottomRight" activeCell="G77" sqref="G77"/>
      <selection pane="bottomLeft" activeCell="A2" sqref="A2"/>
      <selection pane="topRight" activeCell="B1" sqref="B1"/>
    </sheetView>
  </sheetViews>
  <sheetFormatPr defaultRowHeight="14.45"/>
  <cols>
    <col min="2" max="2" width="12.5703125" style="1" customWidth="1"/>
    <col min="3" max="4" width="10.42578125" bestFit="1" customWidth="1"/>
    <col min="5" max="5" width="14.85546875" bestFit="1" customWidth="1"/>
    <col min="6" max="6" width="12.5703125" bestFit="1" customWidth="1"/>
    <col min="7" max="7" width="13.42578125" customWidth="1"/>
    <col min="8" max="8" width="16.42578125" bestFit="1" customWidth="1"/>
  </cols>
  <sheetData>
    <row r="1" spans="1:13">
      <c r="A1" t="s">
        <v>1359</v>
      </c>
      <c r="B1" s="4" t="s">
        <v>11</v>
      </c>
      <c r="C1" t="s">
        <v>1360</v>
      </c>
      <c r="D1" t="s">
        <v>1361</v>
      </c>
      <c r="E1" t="s">
        <v>1362</v>
      </c>
      <c r="F1" t="s">
        <v>1363</v>
      </c>
      <c r="G1" t="s">
        <v>1364</v>
      </c>
      <c r="H1" t="s">
        <v>1365</v>
      </c>
    </row>
    <row r="2" spans="1:13">
      <c r="A2">
        <v>18</v>
      </c>
      <c r="B2" s="39">
        <v>1663</v>
      </c>
      <c r="C2">
        <v>528</v>
      </c>
      <c r="D2">
        <v>376</v>
      </c>
      <c r="E2">
        <v>6</v>
      </c>
      <c r="F2">
        <f>D2+E2</f>
        <v>382</v>
      </c>
      <c r="G2" s="58">
        <f>E2/(D2+E2)*100</f>
        <v>1.5706806282722512</v>
      </c>
      <c r="H2" s="59">
        <f>(C2-F2)/C2*100</f>
        <v>27.651515151515149</v>
      </c>
    </row>
    <row r="3" spans="1:13">
      <c r="A3">
        <v>17</v>
      </c>
      <c r="B3" s="39">
        <v>1682</v>
      </c>
      <c r="C3">
        <v>393</v>
      </c>
      <c r="D3">
        <v>208</v>
      </c>
      <c r="E3">
        <v>25</v>
      </c>
      <c r="F3">
        <f>D3+E3</f>
        <v>233</v>
      </c>
      <c r="G3" s="58">
        <f>E3/(D3+E3)*100</f>
        <v>10.72961373390558</v>
      </c>
      <c r="H3" s="59">
        <f>(C3-F3)/C3*100</f>
        <v>40.712468193384218</v>
      </c>
    </row>
    <row r="4" spans="1:13">
      <c r="A4">
        <v>16</v>
      </c>
      <c r="B4" s="39">
        <v>1698</v>
      </c>
      <c r="C4">
        <v>529</v>
      </c>
      <c r="D4">
        <v>428</v>
      </c>
      <c r="E4">
        <v>6</v>
      </c>
      <c r="F4">
        <f>D4+E4</f>
        <v>434</v>
      </c>
      <c r="G4" s="58">
        <f>E4/(D4+E4)*100</f>
        <v>1.3824884792626728</v>
      </c>
      <c r="H4" s="59">
        <f>(C4-F4)/C4*100</f>
        <v>17.958412098298677</v>
      </c>
    </row>
    <row r="5" spans="1:13">
      <c r="A5">
        <v>33</v>
      </c>
      <c r="B5" s="40">
        <v>1739</v>
      </c>
      <c r="C5" t="s">
        <v>64</v>
      </c>
      <c r="D5" t="s">
        <v>64</v>
      </c>
      <c r="E5" t="s">
        <v>64</v>
      </c>
      <c r="F5">
        <v>0</v>
      </c>
      <c r="G5" s="58" t="s">
        <v>64</v>
      </c>
      <c r="H5" s="59" t="s">
        <v>64</v>
      </c>
    </row>
    <row r="6" spans="1:13">
      <c r="A6">
        <v>19</v>
      </c>
      <c r="B6" s="39">
        <v>1829</v>
      </c>
      <c r="C6">
        <v>694</v>
      </c>
      <c r="D6">
        <v>79</v>
      </c>
      <c r="E6">
        <v>8</v>
      </c>
      <c r="F6">
        <f t="shared" ref="F6:F17" si="0">D6+E6</f>
        <v>87</v>
      </c>
      <c r="G6" s="58">
        <f t="shared" ref="G6:G17" si="1">E6/(D6+E6)*100</f>
        <v>9.1954022988505741</v>
      </c>
      <c r="H6" s="59">
        <f t="shared" ref="H6:H17" si="2">(C6-F6)/C6*100</f>
        <v>87.463976945244966</v>
      </c>
    </row>
    <row r="7" spans="1:13">
      <c r="A7">
        <v>21</v>
      </c>
      <c r="B7" s="39">
        <v>1842</v>
      </c>
      <c r="C7">
        <v>199</v>
      </c>
      <c r="D7">
        <v>88</v>
      </c>
      <c r="E7">
        <v>25</v>
      </c>
      <c r="F7">
        <f t="shared" si="0"/>
        <v>113</v>
      </c>
      <c r="G7" s="58">
        <f t="shared" si="1"/>
        <v>22.123893805309734</v>
      </c>
      <c r="H7" s="59">
        <f t="shared" si="2"/>
        <v>43.21608040201005</v>
      </c>
    </row>
    <row r="8" spans="1:13">
      <c r="A8">
        <v>22</v>
      </c>
      <c r="B8" s="39">
        <v>1842</v>
      </c>
      <c r="C8">
        <v>319</v>
      </c>
      <c r="D8">
        <v>400</v>
      </c>
      <c r="E8">
        <v>47</v>
      </c>
      <c r="F8">
        <f t="shared" si="0"/>
        <v>447</v>
      </c>
      <c r="G8" s="58">
        <f t="shared" si="1"/>
        <v>10.514541387024609</v>
      </c>
      <c r="H8" s="59">
        <f t="shared" si="2"/>
        <v>-40.125391849529777</v>
      </c>
    </row>
    <row r="9" spans="1:13">
      <c r="A9">
        <v>20</v>
      </c>
      <c r="B9" s="39">
        <v>1851</v>
      </c>
      <c r="C9">
        <v>571</v>
      </c>
      <c r="D9">
        <v>336</v>
      </c>
      <c r="E9">
        <v>15</v>
      </c>
      <c r="F9">
        <f t="shared" si="0"/>
        <v>351</v>
      </c>
      <c r="G9" s="58">
        <f t="shared" si="1"/>
        <v>4.2735042735042734</v>
      </c>
      <c r="H9" s="59">
        <f t="shared" si="2"/>
        <v>38.528896672504374</v>
      </c>
    </row>
    <row r="10" spans="1:13">
      <c r="A10">
        <v>25</v>
      </c>
      <c r="B10" s="39">
        <v>1868</v>
      </c>
      <c r="C10">
        <v>128</v>
      </c>
      <c r="D10">
        <v>82</v>
      </c>
      <c r="E10">
        <v>8</v>
      </c>
      <c r="F10">
        <f t="shared" si="0"/>
        <v>90</v>
      </c>
      <c r="G10" s="58">
        <f t="shared" si="1"/>
        <v>8.8888888888888893</v>
      </c>
      <c r="H10" s="59">
        <f t="shared" si="2"/>
        <v>29.6875</v>
      </c>
    </row>
    <row r="11" spans="1:13">
      <c r="A11">
        <v>26</v>
      </c>
      <c r="B11" s="39">
        <v>1868</v>
      </c>
      <c r="C11">
        <v>37</v>
      </c>
      <c r="D11">
        <v>21</v>
      </c>
      <c r="E11">
        <v>4</v>
      </c>
      <c r="F11">
        <f t="shared" si="0"/>
        <v>25</v>
      </c>
      <c r="G11" s="58">
        <f t="shared" si="1"/>
        <v>16</v>
      </c>
      <c r="H11" s="59">
        <f t="shared" si="2"/>
        <v>32.432432432432435</v>
      </c>
      <c r="M11" s="58"/>
    </row>
    <row r="12" spans="1:13">
      <c r="A12">
        <v>27</v>
      </c>
      <c r="B12" s="39">
        <v>1897</v>
      </c>
      <c r="C12">
        <v>23</v>
      </c>
      <c r="D12">
        <v>14</v>
      </c>
      <c r="E12">
        <v>4</v>
      </c>
      <c r="F12">
        <f t="shared" si="0"/>
        <v>18</v>
      </c>
      <c r="G12" s="58">
        <f t="shared" si="1"/>
        <v>22.222222222222221</v>
      </c>
      <c r="H12" s="59">
        <f t="shared" si="2"/>
        <v>21.739130434782609</v>
      </c>
      <c r="M12" s="58"/>
    </row>
    <row r="13" spans="1:13">
      <c r="A13">
        <v>24</v>
      </c>
      <c r="B13" s="39">
        <v>1905</v>
      </c>
      <c r="C13">
        <v>17</v>
      </c>
      <c r="D13">
        <v>1</v>
      </c>
      <c r="E13">
        <v>8</v>
      </c>
      <c r="F13">
        <f t="shared" si="0"/>
        <v>9</v>
      </c>
      <c r="G13" s="58">
        <f t="shared" si="1"/>
        <v>88.888888888888886</v>
      </c>
      <c r="H13" s="59">
        <f t="shared" si="2"/>
        <v>47.058823529411761</v>
      </c>
      <c r="M13" s="58"/>
    </row>
    <row r="14" spans="1:13">
      <c r="A14">
        <v>1</v>
      </c>
      <c r="B14" s="39">
        <v>1916</v>
      </c>
      <c r="C14">
        <v>369</v>
      </c>
      <c r="D14">
        <v>238</v>
      </c>
      <c r="E14">
        <v>2</v>
      </c>
      <c r="F14">
        <f t="shared" si="0"/>
        <v>240</v>
      </c>
      <c r="G14" s="58">
        <f t="shared" si="1"/>
        <v>0.83333333333333337</v>
      </c>
      <c r="H14" s="59">
        <f t="shared" si="2"/>
        <v>34.959349593495936</v>
      </c>
      <c r="M14" s="58"/>
    </row>
    <row r="15" spans="1:13">
      <c r="A15">
        <v>2</v>
      </c>
      <c r="B15" s="39">
        <v>1957</v>
      </c>
      <c r="C15">
        <v>423</v>
      </c>
      <c r="D15">
        <v>295</v>
      </c>
      <c r="E15">
        <v>1</v>
      </c>
      <c r="F15">
        <f t="shared" si="0"/>
        <v>296</v>
      </c>
      <c r="G15" s="58">
        <f t="shared" si="1"/>
        <v>0.33783783783783783</v>
      </c>
      <c r="H15" s="59">
        <f t="shared" si="2"/>
        <v>30.023640661938533</v>
      </c>
      <c r="I15" s="58"/>
      <c r="J15" s="58"/>
      <c r="K15" s="58"/>
      <c r="L15" s="58"/>
    </row>
    <row r="16" spans="1:13">
      <c r="A16">
        <v>23</v>
      </c>
      <c r="B16" s="28">
        <v>2003</v>
      </c>
      <c r="C16">
        <v>220</v>
      </c>
      <c r="D16">
        <v>138</v>
      </c>
      <c r="E16">
        <v>13</v>
      </c>
      <c r="F16">
        <f t="shared" si="0"/>
        <v>151</v>
      </c>
      <c r="G16" s="58">
        <f t="shared" si="1"/>
        <v>8.6092715231788084</v>
      </c>
      <c r="H16" s="59">
        <f t="shared" si="2"/>
        <v>31.363636363636367</v>
      </c>
    </row>
    <row r="17" spans="1:9">
      <c r="A17">
        <v>42</v>
      </c>
      <c r="B17" s="29">
        <v>2007</v>
      </c>
      <c r="C17">
        <v>3</v>
      </c>
      <c r="D17">
        <v>2</v>
      </c>
      <c r="E17">
        <v>1</v>
      </c>
      <c r="F17">
        <f t="shared" si="0"/>
        <v>3</v>
      </c>
      <c r="G17" s="58">
        <f t="shared" si="1"/>
        <v>33.333333333333329</v>
      </c>
      <c r="H17" s="59">
        <f t="shared" si="2"/>
        <v>0</v>
      </c>
    </row>
    <row r="18" spans="1:9">
      <c r="A18">
        <v>43</v>
      </c>
      <c r="B18" s="29">
        <v>2007</v>
      </c>
      <c r="G18" s="58"/>
      <c r="H18" s="59"/>
    </row>
    <row r="19" spans="1:9">
      <c r="A19">
        <v>3</v>
      </c>
      <c r="B19" s="28">
        <v>2014</v>
      </c>
      <c r="C19">
        <v>301</v>
      </c>
      <c r="D19">
        <v>214</v>
      </c>
      <c r="E19">
        <v>29</v>
      </c>
      <c r="F19">
        <f>D19+E19</f>
        <v>243</v>
      </c>
      <c r="G19" s="58">
        <f>E19/(D19+E19)*100</f>
        <v>11.934156378600823</v>
      </c>
      <c r="H19" s="59">
        <f>(C19-F19)/C19*100</f>
        <v>19.269102990033225</v>
      </c>
    </row>
    <row r="20" spans="1:9">
      <c r="A20">
        <v>28</v>
      </c>
      <c r="B20" s="28">
        <v>2037</v>
      </c>
      <c r="C20">
        <v>15</v>
      </c>
      <c r="D20">
        <v>13</v>
      </c>
      <c r="E20">
        <v>0</v>
      </c>
      <c r="F20">
        <f>D20+E20</f>
        <v>13</v>
      </c>
      <c r="G20" s="58">
        <f>E20/(D20+E20)*100</f>
        <v>0</v>
      </c>
      <c r="H20" s="59">
        <f>(C20-F20)/C20*100</f>
        <v>13.333333333333334</v>
      </c>
    </row>
    <row r="21" spans="1:9">
      <c r="A21">
        <v>30</v>
      </c>
      <c r="B21" s="29">
        <v>2057</v>
      </c>
      <c r="G21" s="58"/>
      <c r="H21" s="59"/>
    </row>
    <row r="22" spans="1:9">
      <c r="A22">
        <v>29</v>
      </c>
      <c r="B22" s="29">
        <v>2063</v>
      </c>
      <c r="C22">
        <v>3</v>
      </c>
      <c r="D22">
        <v>100</v>
      </c>
      <c r="E22">
        <v>13</v>
      </c>
      <c r="F22">
        <f>D22+E22</f>
        <v>113</v>
      </c>
      <c r="G22" s="58">
        <f>E22/(D22+E22)*100</f>
        <v>11.504424778761061</v>
      </c>
      <c r="H22" s="59">
        <f>(C22-F22)/C22*100</f>
        <v>-3666.6666666666665</v>
      </c>
    </row>
    <row r="23" spans="1:9">
      <c r="A23">
        <v>4</v>
      </c>
      <c r="B23" s="28">
        <v>2076</v>
      </c>
      <c r="C23">
        <v>669</v>
      </c>
      <c r="D23">
        <v>560</v>
      </c>
      <c r="E23">
        <v>1</v>
      </c>
      <c r="F23">
        <f>D23+E23</f>
        <v>561</v>
      </c>
      <c r="G23" s="58">
        <f>E23/(D23+E23)*100</f>
        <v>0.17825311942959002</v>
      </c>
      <c r="H23" s="59">
        <f>(C23-F23)/C23*100</f>
        <v>16.143497757847534</v>
      </c>
    </row>
    <row r="24" spans="1:9">
      <c r="A24">
        <v>37</v>
      </c>
      <c r="B24" s="29">
        <v>2077</v>
      </c>
      <c r="C24">
        <v>50</v>
      </c>
      <c r="D24">
        <v>20</v>
      </c>
      <c r="E24">
        <v>12</v>
      </c>
      <c r="F24">
        <f>D24+E24</f>
        <v>32</v>
      </c>
      <c r="G24" s="58">
        <f>E24/(D24+E24)*100</f>
        <v>37.5</v>
      </c>
      <c r="H24" s="59">
        <f>(C24-F24)/C24*100</f>
        <v>36</v>
      </c>
    </row>
    <row r="25" spans="1:9">
      <c r="A25">
        <v>57</v>
      </c>
      <c r="B25" s="29">
        <v>2088</v>
      </c>
      <c r="C25">
        <v>21</v>
      </c>
      <c r="D25">
        <v>15</v>
      </c>
      <c r="E25">
        <v>0</v>
      </c>
      <c r="F25">
        <f>D25+E25</f>
        <v>15</v>
      </c>
      <c r="G25" s="58">
        <f>E25/(D25+E25)*100</f>
        <v>0</v>
      </c>
      <c r="H25" s="59">
        <f>(C25-F25)/C25*100</f>
        <v>28.571428571428569</v>
      </c>
    </row>
    <row r="26" spans="1:9">
      <c r="A26">
        <v>52</v>
      </c>
      <c r="B26" s="29">
        <v>2118</v>
      </c>
      <c r="G26" s="58"/>
      <c r="H26" s="59"/>
    </row>
    <row r="27" spans="1:9">
      <c r="A27">
        <v>50</v>
      </c>
      <c r="B27" s="29">
        <v>2123</v>
      </c>
      <c r="C27">
        <v>55</v>
      </c>
      <c r="D27">
        <v>36</v>
      </c>
      <c r="E27">
        <v>3</v>
      </c>
      <c r="F27">
        <f>D27+E27</f>
        <v>39</v>
      </c>
      <c r="G27" s="58">
        <f>E27/(D27+E27)*100</f>
        <v>7.6923076923076925</v>
      </c>
      <c r="H27" s="59">
        <f>(C27-F27)/C27*100</f>
        <v>29.09090909090909</v>
      </c>
    </row>
    <row r="28" spans="1:9">
      <c r="A28">
        <v>31</v>
      </c>
      <c r="B28" s="29">
        <v>2149</v>
      </c>
      <c r="C28">
        <v>151</v>
      </c>
      <c r="D28">
        <v>100</v>
      </c>
      <c r="E28">
        <v>0</v>
      </c>
      <c r="F28">
        <f>D28+E28</f>
        <v>100</v>
      </c>
      <c r="G28" s="58">
        <f>E28/(D28+E28)*100</f>
        <v>0</v>
      </c>
      <c r="H28" s="59">
        <f>(C28-F28)/C28*100</f>
        <v>33.774834437086092</v>
      </c>
    </row>
    <row r="29" spans="1:9">
      <c r="A29">
        <v>5</v>
      </c>
      <c r="B29" s="28">
        <v>2160</v>
      </c>
      <c r="C29">
        <v>89</v>
      </c>
      <c r="D29">
        <v>71</v>
      </c>
      <c r="E29">
        <v>3</v>
      </c>
      <c r="F29">
        <f>D29+E29</f>
        <v>74</v>
      </c>
      <c r="G29" s="58">
        <f>E29/(D29+E29)*100</f>
        <v>4.0540540540540544</v>
      </c>
      <c r="H29" s="59">
        <f>(C29-F29)/C29*100</f>
        <v>16.853932584269664</v>
      </c>
    </row>
    <row r="30" spans="1:9">
      <c r="A30">
        <v>61</v>
      </c>
      <c r="B30" s="29">
        <v>2167</v>
      </c>
      <c r="C30">
        <v>102</v>
      </c>
      <c r="D30">
        <v>69</v>
      </c>
      <c r="E30">
        <v>6</v>
      </c>
      <c r="F30">
        <f>D30+E30</f>
        <v>75</v>
      </c>
      <c r="G30" s="58">
        <f>E30/(D30+E30)*100</f>
        <v>8</v>
      </c>
      <c r="H30" s="59">
        <f>(C30-F30)/C30*100</f>
        <v>26.47058823529412</v>
      </c>
    </row>
    <row r="31" spans="1:9">
      <c r="A31">
        <v>44</v>
      </c>
      <c r="B31" s="29">
        <v>2201</v>
      </c>
      <c r="C31">
        <v>203</v>
      </c>
      <c r="D31" t="s">
        <v>64</v>
      </c>
      <c r="E31" t="s">
        <v>64</v>
      </c>
      <c r="F31" t="s">
        <v>64</v>
      </c>
      <c r="G31" s="58" t="s">
        <v>64</v>
      </c>
      <c r="H31" s="59" t="s">
        <v>64</v>
      </c>
      <c r="I31" s="58"/>
    </row>
    <row r="32" spans="1:9">
      <c r="A32">
        <v>41</v>
      </c>
      <c r="B32" s="29">
        <v>2217</v>
      </c>
      <c r="C32">
        <v>11</v>
      </c>
      <c r="D32">
        <v>11</v>
      </c>
      <c r="E32">
        <v>0</v>
      </c>
      <c r="F32">
        <f>D32+E32</f>
        <v>11</v>
      </c>
      <c r="G32" s="58">
        <f>E32/(D32+E32)*100</f>
        <v>0</v>
      </c>
      <c r="H32" s="59">
        <f>(C32-F32)/C32*100</f>
        <v>0</v>
      </c>
    </row>
    <row r="33" spans="1:13">
      <c r="A33">
        <v>39</v>
      </c>
      <c r="B33" s="29">
        <v>2219</v>
      </c>
      <c r="C33" t="s">
        <v>64</v>
      </c>
      <c r="D33" t="s">
        <v>64</v>
      </c>
      <c r="E33" t="s">
        <v>64</v>
      </c>
      <c r="F33" t="s">
        <v>64</v>
      </c>
      <c r="G33" s="58" t="s">
        <v>64</v>
      </c>
      <c r="H33" s="59" t="s">
        <v>64</v>
      </c>
    </row>
    <row r="34" spans="1:13">
      <c r="A34">
        <v>49</v>
      </c>
      <c r="B34" s="29">
        <v>2225</v>
      </c>
      <c r="C34">
        <v>25</v>
      </c>
      <c r="D34">
        <v>5</v>
      </c>
      <c r="E34">
        <v>11</v>
      </c>
      <c r="F34">
        <f t="shared" ref="F34:F45" si="3">D34+E34</f>
        <v>16</v>
      </c>
      <c r="G34" s="58">
        <f t="shared" ref="G34:G45" si="4">E34/(D34+E34)*100</f>
        <v>68.75</v>
      </c>
      <c r="H34" s="59">
        <f t="shared" ref="H34:H45" si="5">(C34-F34)/C34*100</f>
        <v>36</v>
      </c>
    </row>
    <row r="35" spans="1:13">
      <c r="A35">
        <v>45</v>
      </c>
      <c r="B35" s="29">
        <v>2239</v>
      </c>
      <c r="C35">
        <v>1490</v>
      </c>
      <c r="D35">
        <v>354</v>
      </c>
      <c r="E35">
        <v>0</v>
      </c>
      <c r="F35">
        <f t="shared" si="3"/>
        <v>354</v>
      </c>
      <c r="G35" s="58">
        <f t="shared" si="4"/>
        <v>0</v>
      </c>
      <c r="H35" s="59">
        <f t="shared" si="5"/>
        <v>76.241610738255034</v>
      </c>
    </row>
    <row r="36" spans="1:13">
      <c r="A36">
        <v>54</v>
      </c>
      <c r="B36" s="29">
        <v>2240</v>
      </c>
      <c r="C36">
        <v>354</v>
      </c>
      <c r="D36">
        <v>140</v>
      </c>
      <c r="E36">
        <v>0</v>
      </c>
      <c r="F36">
        <f t="shared" si="3"/>
        <v>140</v>
      </c>
      <c r="G36" s="58">
        <f t="shared" si="4"/>
        <v>0</v>
      </c>
      <c r="H36" s="59">
        <f t="shared" si="5"/>
        <v>60.451977401129945</v>
      </c>
    </row>
    <row r="37" spans="1:13">
      <c r="A37">
        <v>60</v>
      </c>
      <c r="B37" s="29">
        <v>2242</v>
      </c>
      <c r="C37">
        <v>53</v>
      </c>
      <c r="D37">
        <v>59</v>
      </c>
      <c r="E37">
        <v>0</v>
      </c>
      <c r="F37">
        <f t="shared" si="3"/>
        <v>59</v>
      </c>
      <c r="G37" s="58">
        <f t="shared" si="4"/>
        <v>0</v>
      </c>
      <c r="H37" s="59">
        <f t="shared" si="5"/>
        <v>-11.320754716981133</v>
      </c>
    </row>
    <row r="38" spans="1:13">
      <c r="A38">
        <v>35</v>
      </c>
      <c r="B38" s="29">
        <v>2244</v>
      </c>
      <c r="C38">
        <v>242</v>
      </c>
      <c r="D38">
        <v>28</v>
      </c>
      <c r="E38">
        <v>0</v>
      </c>
      <c r="F38">
        <f t="shared" si="3"/>
        <v>28</v>
      </c>
      <c r="G38" s="58">
        <f t="shared" si="4"/>
        <v>0</v>
      </c>
      <c r="H38" s="59">
        <f t="shared" si="5"/>
        <v>88.429752066115711</v>
      </c>
    </row>
    <row r="39" spans="1:13">
      <c r="A39">
        <v>40</v>
      </c>
      <c r="B39" s="29">
        <v>2244</v>
      </c>
      <c r="C39">
        <v>1</v>
      </c>
      <c r="D39">
        <v>1</v>
      </c>
      <c r="E39">
        <v>0</v>
      </c>
      <c r="F39">
        <f t="shared" si="3"/>
        <v>1</v>
      </c>
      <c r="G39" s="58">
        <f t="shared" si="4"/>
        <v>0</v>
      </c>
      <c r="H39" s="59">
        <f t="shared" si="5"/>
        <v>0</v>
      </c>
    </row>
    <row r="40" spans="1:13">
      <c r="A40">
        <v>53</v>
      </c>
      <c r="B40" s="29">
        <v>2251</v>
      </c>
      <c r="C40">
        <v>409</v>
      </c>
      <c r="D40">
        <v>40</v>
      </c>
      <c r="E40">
        <v>0</v>
      </c>
      <c r="F40">
        <f t="shared" si="3"/>
        <v>40</v>
      </c>
      <c r="G40" s="58">
        <f t="shared" si="4"/>
        <v>0</v>
      </c>
      <c r="H40" s="59">
        <f t="shared" si="5"/>
        <v>90.220048899755497</v>
      </c>
    </row>
    <row r="41" spans="1:13">
      <c r="A41">
        <v>58</v>
      </c>
      <c r="B41" s="29">
        <v>2283</v>
      </c>
      <c r="C41">
        <v>2</v>
      </c>
      <c r="D41">
        <v>1</v>
      </c>
      <c r="E41">
        <v>0</v>
      </c>
      <c r="F41">
        <f t="shared" si="3"/>
        <v>1</v>
      </c>
      <c r="G41" s="58">
        <f t="shared" si="4"/>
        <v>0</v>
      </c>
      <c r="H41" s="59">
        <f t="shared" si="5"/>
        <v>50</v>
      </c>
    </row>
    <row r="42" spans="1:13">
      <c r="A42">
        <v>36</v>
      </c>
      <c r="B42" s="29">
        <v>2294</v>
      </c>
      <c r="C42">
        <v>32</v>
      </c>
      <c r="D42">
        <v>30</v>
      </c>
      <c r="E42">
        <v>2</v>
      </c>
      <c r="F42">
        <f t="shared" si="3"/>
        <v>32</v>
      </c>
      <c r="G42" s="58">
        <f t="shared" si="4"/>
        <v>6.25</v>
      </c>
      <c r="H42" s="59">
        <f t="shared" si="5"/>
        <v>0</v>
      </c>
    </row>
    <row r="43" spans="1:13">
      <c r="A43">
        <v>38</v>
      </c>
      <c r="B43" s="29">
        <v>2295</v>
      </c>
      <c r="C43">
        <v>33</v>
      </c>
      <c r="D43">
        <v>29</v>
      </c>
      <c r="E43">
        <v>1</v>
      </c>
      <c r="F43">
        <f t="shared" si="3"/>
        <v>30</v>
      </c>
      <c r="G43" s="58">
        <f t="shared" si="4"/>
        <v>3.3333333333333335</v>
      </c>
      <c r="H43" s="59">
        <f t="shared" si="5"/>
        <v>9.0909090909090917</v>
      </c>
      <c r="L43" s="58"/>
    </row>
    <row r="44" spans="1:13">
      <c r="A44">
        <v>13</v>
      </c>
      <c r="B44" s="2">
        <v>2307</v>
      </c>
      <c r="C44">
        <v>1157</v>
      </c>
      <c r="D44">
        <v>713</v>
      </c>
      <c r="E44">
        <v>5</v>
      </c>
      <c r="F44">
        <f t="shared" si="3"/>
        <v>718</v>
      </c>
      <c r="G44" s="58">
        <f t="shared" si="4"/>
        <v>0.69637883008356549</v>
      </c>
      <c r="H44" s="59">
        <f t="shared" si="5"/>
        <v>37.94295592048401</v>
      </c>
      <c r="M44" s="58"/>
    </row>
    <row r="45" spans="1:13">
      <c r="A45">
        <v>51</v>
      </c>
      <c r="B45" s="1">
        <v>2309</v>
      </c>
      <c r="C45">
        <v>175</v>
      </c>
      <c r="D45">
        <v>112</v>
      </c>
      <c r="E45">
        <v>4</v>
      </c>
      <c r="F45">
        <f t="shared" si="3"/>
        <v>116</v>
      </c>
      <c r="G45" s="58">
        <f t="shared" si="4"/>
        <v>3.4482758620689653</v>
      </c>
      <c r="H45" s="59">
        <f t="shared" si="5"/>
        <v>33.714285714285715</v>
      </c>
      <c r="M45" s="58"/>
    </row>
    <row r="46" spans="1:13">
      <c r="A46">
        <v>59</v>
      </c>
      <c r="B46" s="1">
        <v>2315</v>
      </c>
      <c r="C46">
        <v>316</v>
      </c>
      <c r="D46" t="s">
        <v>64</v>
      </c>
      <c r="E46">
        <v>0</v>
      </c>
      <c r="F46" t="s">
        <v>64</v>
      </c>
      <c r="G46" s="58" t="s">
        <v>64</v>
      </c>
      <c r="H46" s="59" t="s">
        <v>64</v>
      </c>
      <c r="M46" s="58"/>
    </row>
    <row r="47" spans="1:13">
      <c r="A47">
        <v>55</v>
      </c>
      <c r="B47" s="1">
        <v>2330</v>
      </c>
      <c r="G47" s="58"/>
      <c r="H47" s="59"/>
      <c r="M47" s="58"/>
    </row>
    <row r="48" spans="1:13">
      <c r="A48">
        <v>32</v>
      </c>
      <c r="B48" s="1">
        <v>2331</v>
      </c>
      <c r="C48">
        <v>2</v>
      </c>
      <c r="D48" t="s">
        <v>64</v>
      </c>
      <c r="E48">
        <v>0</v>
      </c>
      <c r="F48" t="s">
        <v>64</v>
      </c>
      <c r="G48" s="58" t="s">
        <v>64</v>
      </c>
      <c r="H48" s="59" t="s">
        <v>64</v>
      </c>
    </row>
    <row r="49" spans="1:13">
      <c r="A49">
        <v>46</v>
      </c>
      <c r="B49" s="1">
        <v>2348</v>
      </c>
      <c r="C49">
        <v>205</v>
      </c>
      <c r="D49">
        <v>40</v>
      </c>
      <c r="E49">
        <v>0</v>
      </c>
      <c r="F49">
        <f t="shared" ref="F49:F58" si="6">D49+E49</f>
        <v>40</v>
      </c>
      <c r="G49" s="58">
        <f t="shared" ref="G49:G58" si="7">E49/(D49+E49)*100</f>
        <v>0</v>
      </c>
      <c r="H49" s="59">
        <f t="shared" ref="H49:H58" si="8">(C49-F49)/C49*100</f>
        <v>80.487804878048792</v>
      </c>
    </row>
    <row r="50" spans="1:13">
      <c r="A50">
        <v>34</v>
      </c>
      <c r="B50" s="1">
        <v>2355</v>
      </c>
      <c r="C50">
        <v>600</v>
      </c>
      <c r="D50">
        <v>116</v>
      </c>
      <c r="E50">
        <v>2</v>
      </c>
      <c r="F50">
        <f t="shared" si="6"/>
        <v>118</v>
      </c>
      <c r="G50" s="58">
        <f t="shared" si="7"/>
        <v>1.6949152542372881</v>
      </c>
      <c r="H50" s="59">
        <f t="shared" si="8"/>
        <v>80.333333333333329</v>
      </c>
    </row>
    <row r="51" spans="1:13">
      <c r="A51">
        <v>47</v>
      </c>
      <c r="B51" s="1">
        <v>2381</v>
      </c>
      <c r="C51">
        <v>267</v>
      </c>
      <c r="D51">
        <v>102</v>
      </c>
      <c r="E51">
        <v>14</v>
      </c>
      <c r="F51">
        <f t="shared" si="6"/>
        <v>116</v>
      </c>
      <c r="G51" s="58">
        <f t="shared" si="7"/>
        <v>12.068965517241379</v>
      </c>
      <c r="H51" s="59">
        <f t="shared" si="8"/>
        <v>56.554307116104873</v>
      </c>
    </row>
    <row r="52" spans="1:13">
      <c r="A52">
        <v>6</v>
      </c>
      <c r="B52" s="2">
        <v>2386</v>
      </c>
      <c r="C52">
        <v>143</v>
      </c>
      <c r="D52">
        <v>101</v>
      </c>
      <c r="E52">
        <v>1</v>
      </c>
      <c r="F52">
        <f t="shared" si="6"/>
        <v>102</v>
      </c>
      <c r="G52" s="58">
        <f t="shared" si="7"/>
        <v>0.98039215686274506</v>
      </c>
      <c r="H52" s="59">
        <f t="shared" si="8"/>
        <v>28.671328671328673</v>
      </c>
    </row>
    <row r="53" spans="1:13">
      <c r="A53">
        <v>56</v>
      </c>
      <c r="B53" s="1">
        <v>2392</v>
      </c>
      <c r="C53">
        <v>48</v>
      </c>
      <c r="D53">
        <v>34</v>
      </c>
      <c r="E53">
        <v>6</v>
      </c>
      <c r="F53">
        <f t="shared" si="6"/>
        <v>40</v>
      </c>
      <c r="G53" s="58">
        <f t="shared" si="7"/>
        <v>15</v>
      </c>
      <c r="H53" s="59">
        <f t="shared" si="8"/>
        <v>16.666666666666664</v>
      </c>
    </row>
    <row r="54" spans="1:13">
      <c r="A54">
        <v>14</v>
      </c>
      <c r="B54" s="2">
        <v>2413</v>
      </c>
      <c r="C54">
        <v>144</v>
      </c>
      <c r="D54">
        <v>106</v>
      </c>
      <c r="E54">
        <v>8</v>
      </c>
      <c r="F54">
        <f t="shared" si="6"/>
        <v>114</v>
      </c>
      <c r="G54" s="58">
        <f t="shared" si="7"/>
        <v>7.0175438596491224</v>
      </c>
      <c r="H54" s="59">
        <f t="shared" si="8"/>
        <v>20.833333333333336</v>
      </c>
    </row>
    <row r="55" spans="1:13">
      <c r="A55">
        <v>7</v>
      </c>
      <c r="B55" s="2">
        <v>2446</v>
      </c>
      <c r="C55">
        <v>148</v>
      </c>
      <c r="D55">
        <v>90</v>
      </c>
      <c r="E55">
        <v>0</v>
      </c>
      <c r="F55">
        <f t="shared" si="6"/>
        <v>90</v>
      </c>
      <c r="G55" s="58">
        <f t="shared" si="7"/>
        <v>0</v>
      </c>
      <c r="H55" s="59">
        <f t="shared" si="8"/>
        <v>39.189189189189186</v>
      </c>
    </row>
    <row r="56" spans="1:13">
      <c r="A56">
        <v>8</v>
      </c>
      <c r="B56" s="2">
        <v>2450</v>
      </c>
      <c r="C56">
        <v>52</v>
      </c>
      <c r="D56">
        <v>25</v>
      </c>
      <c r="E56">
        <v>0</v>
      </c>
      <c r="F56">
        <f t="shared" si="6"/>
        <v>25</v>
      </c>
      <c r="G56" s="58">
        <f t="shared" si="7"/>
        <v>0</v>
      </c>
      <c r="H56" s="59">
        <f t="shared" si="8"/>
        <v>51.923076923076927</v>
      </c>
    </row>
    <row r="57" spans="1:13">
      <c r="A57">
        <v>48</v>
      </c>
      <c r="B57" s="1">
        <v>2469</v>
      </c>
      <c r="C57">
        <v>41</v>
      </c>
      <c r="D57">
        <v>29</v>
      </c>
      <c r="E57">
        <v>3</v>
      </c>
      <c r="F57">
        <f t="shared" si="6"/>
        <v>32</v>
      </c>
      <c r="G57" s="58">
        <f t="shared" si="7"/>
        <v>9.375</v>
      </c>
      <c r="H57" s="59">
        <f t="shared" si="8"/>
        <v>21.951219512195124</v>
      </c>
    </row>
    <row r="58" spans="1:13">
      <c r="A58">
        <v>15</v>
      </c>
      <c r="B58" s="2">
        <v>2486</v>
      </c>
      <c r="C58">
        <v>580</v>
      </c>
      <c r="D58">
        <v>418</v>
      </c>
      <c r="E58">
        <v>5</v>
      </c>
      <c r="F58">
        <f t="shared" si="6"/>
        <v>423</v>
      </c>
      <c r="G58" s="58">
        <f t="shared" si="7"/>
        <v>1.1820330969267139</v>
      </c>
      <c r="H58" s="59">
        <f t="shared" si="8"/>
        <v>27.068965517241377</v>
      </c>
    </row>
    <row r="59" spans="1:13">
      <c r="A59">
        <v>9</v>
      </c>
      <c r="B59" s="2">
        <v>2500</v>
      </c>
      <c r="C59" t="s">
        <v>64</v>
      </c>
      <c r="D59" t="s">
        <v>64</v>
      </c>
      <c r="E59" t="s">
        <v>64</v>
      </c>
      <c r="F59" t="s">
        <v>64</v>
      </c>
      <c r="G59" s="58" t="s">
        <v>64</v>
      </c>
      <c r="H59" s="59" t="s">
        <v>64</v>
      </c>
    </row>
    <row r="60" spans="1:13">
      <c r="A60">
        <v>12</v>
      </c>
      <c r="B60" s="2">
        <v>2509</v>
      </c>
      <c r="C60">
        <v>155</v>
      </c>
      <c r="D60">
        <v>126</v>
      </c>
      <c r="E60">
        <v>1</v>
      </c>
      <c r="F60">
        <f>D60+E60</f>
        <v>127</v>
      </c>
      <c r="G60" s="58">
        <f>E60/(D60+E60)*100</f>
        <v>0.78740157480314954</v>
      </c>
      <c r="H60" s="59">
        <f>(C60-F60)/C60*100</f>
        <v>18.064516129032256</v>
      </c>
    </row>
    <row r="61" spans="1:13">
      <c r="A61">
        <v>11</v>
      </c>
      <c r="B61" s="2">
        <v>2510</v>
      </c>
      <c r="C61">
        <v>73</v>
      </c>
      <c r="D61">
        <v>52</v>
      </c>
      <c r="E61">
        <v>0</v>
      </c>
      <c r="F61">
        <f>D61+E61</f>
        <v>52</v>
      </c>
      <c r="G61" s="58">
        <f>E61/(D61+E61)*100</f>
        <v>0</v>
      </c>
      <c r="H61" s="59">
        <f>(C61-F61)/C61*100</f>
        <v>28.767123287671232</v>
      </c>
    </row>
    <row r="62" spans="1:13">
      <c r="A62">
        <v>10</v>
      </c>
      <c r="B62" s="1">
        <v>2523</v>
      </c>
      <c r="C62">
        <v>70</v>
      </c>
      <c r="D62">
        <v>40</v>
      </c>
      <c r="E62">
        <v>0</v>
      </c>
      <c r="F62">
        <f>D62+E62</f>
        <v>40</v>
      </c>
      <c r="G62" s="58">
        <f>E62/(D62+E62)*100</f>
        <v>0</v>
      </c>
      <c r="H62" s="59">
        <f>(C62-F62)/C62*100</f>
        <v>42.857142857142854</v>
      </c>
      <c r="L62" s="58"/>
    </row>
    <row r="63" spans="1:13">
      <c r="H63" s="59"/>
      <c r="M63" s="58"/>
    </row>
    <row r="64" spans="1:13">
      <c r="H64" s="59"/>
      <c r="M64" s="58"/>
    </row>
    <row r="65" spans="8:13">
      <c r="H65" s="59"/>
      <c r="M65" s="58"/>
    </row>
    <row r="66" spans="8:13">
      <c r="H66" s="59"/>
      <c r="M66" s="58"/>
    </row>
  </sheetData>
  <sortState xmlns:xlrd2="http://schemas.microsoft.com/office/spreadsheetml/2017/richdata2" ref="A2:J67">
    <sortCondition ref="B2:B6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F23E9B4AD9A4E9756578747105854" ma:contentTypeVersion="4" ma:contentTypeDescription="Create a new document." ma:contentTypeScope="" ma:versionID="09e6c6d5cbd5924cb15e1003607389d7">
  <xsd:schema xmlns:xsd="http://www.w3.org/2001/XMLSchema" xmlns:xs="http://www.w3.org/2001/XMLSchema" xmlns:p="http://schemas.microsoft.com/office/2006/metadata/properties" xmlns:ns2="f1ec478c-10cf-477f-9064-6dfa32e866d1" targetNamespace="http://schemas.microsoft.com/office/2006/metadata/properties" ma:root="true" ma:fieldsID="712befe9080acbf29cc9d7facb812416" ns2:_="">
    <xsd:import namespace="f1ec478c-10cf-477f-9064-6dfa32e86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c478c-10cf-477f-9064-6dfa32e86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ADB607-9826-4810-9C40-AD582FEA3CB8}"/>
</file>

<file path=customXml/itemProps2.xml><?xml version="1.0" encoding="utf-8"?>
<ds:datastoreItem xmlns:ds="http://schemas.openxmlformats.org/officeDocument/2006/customXml" ds:itemID="{5E7A161B-EFA7-42B9-9F7D-E108FD04478D}"/>
</file>

<file path=customXml/itemProps3.xml><?xml version="1.0" encoding="utf-8"?>
<ds:datastoreItem xmlns:ds="http://schemas.openxmlformats.org/officeDocument/2006/customXml" ds:itemID="{6159CEB2-23C5-476A-B62A-12C379D882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Carhuapoma, Pablo (CIP)</dc:creator>
  <cp:keywords/>
  <dc:description/>
  <cp:lastModifiedBy>Etherton, Berea A.</cp:lastModifiedBy>
  <cp:revision/>
  <dcterms:created xsi:type="dcterms:W3CDTF">2015-07-01T20:14:31Z</dcterms:created>
  <dcterms:modified xsi:type="dcterms:W3CDTF">2020-12-16T15:03:17Z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0x0101004B0F23E9B4AD9A4E9756578747105854</vt:lpwstr>
  </property>
</Properties>
</file>